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8"/>
  </bookViews>
  <sheets>
    <sheet name="ogólnie" sheetId="1" r:id="rId1"/>
    <sheet name="ogólnie cd" sheetId="2" state="hidden" r:id="rId2"/>
    <sheet name="ndst" sheetId="3" r:id="rId3"/>
    <sheet name="przedmiotami" sheetId="4" r:id="rId4"/>
    <sheet name="zachowanie" sheetId="5" r:id="rId5"/>
    <sheet name="do druku" sheetId="6" r:id="rId6"/>
    <sheet name="do druku2" sheetId="7" r:id="rId7"/>
    <sheet name="Ust" sheetId="8" state="hidden" r:id="rId8"/>
    <sheet name="Lista uczniów" sheetId="9" r:id="rId9"/>
  </sheets>
  <definedNames>
    <definedName name="klasa">'Ust'!$C$1:$C$33</definedName>
    <definedName name="Przedmiot">'przedmiotami'!$A$1</definedName>
    <definedName name="Przedmioty">'przedmiotami'!$A$2:$A$128</definedName>
    <definedName name="rok">'Ust'!$B$1:$B$8</definedName>
    <definedName name="semestr">'Ust'!$A$1:$A$3</definedName>
    <definedName name="EXTRACT" localSheetId="2">'ndst'!$Q$16</definedName>
  </definedNames>
  <calcPr fullCalcOnLoad="1"/>
</workbook>
</file>

<file path=xl/sharedStrings.xml><?xml version="1.0" encoding="utf-8"?>
<sst xmlns="http://schemas.openxmlformats.org/spreadsheetml/2006/main" count="297" uniqueCount="230">
  <si>
    <t>Arkusz klasyfikacyjny</t>
  </si>
  <si>
    <t>Semestr</t>
  </si>
  <si>
    <t>Rok szkolny</t>
  </si>
  <si>
    <t>KLASA</t>
  </si>
  <si>
    <t>STAN KLASY</t>
  </si>
  <si>
    <t>KLASYFIKOWANYCH:</t>
  </si>
  <si>
    <t>bez ocen niedostatecznych</t>
  </si>
  <si>
    <t>z 1 oceną niedostateczną</t>
  </si>
  <si>
    <t>z 2 ocenami niedostatecznymi</t>
  </si>
  <si>
    <t>z 3 ocenami niedostatecznymi i więcej</t>
  </si>
  <si>
    <t>NIEKLASYFIKOWANYCH:</t>
  </si>
  <si>
    <t>z 1 przedmiotu</t>
  </si>
  <si>
    <t>z 2 przedmiotów</t>
  </si>
  <si>
    <t>z 3 i więcej przedmiotów</t>
  </si>
  <si>
    <t>ŚREDNIA OCEN</t>
  </si>
  <si>
    <t>ŚREDNIA FREKWENCYJNA</t>
  </si>
  <si>
    <t>ŚREDNIA CZYTELNICTWA</t>
  </si>
  <si>
    <t>PROMOWANYCH OGÓŁEM:</t>
  </si>
  <si>
    <t>dziewcząt</t>
  </si>
  <si>
    <t>chłopców</t>
  </si>
  <si>
    <t>NIEPROMOWANYCH OGÓŁEM</t>
  </si>
  <si>
    <t>DO EGZAMINU POPRAWKOWEGO OGÓŁEM</t>
  </si>
  <si>
    <t>ZACHOWANIE:</t>
  </si>
  <si>
    <t>Wzorowe</t>
  </si>
  <si>
    <t>Bardzo dobre</t>
  </si>
  <si>
    <t>Dobre</t>
  </si>
  <si>
    <t>Poprawne</t>
  </si>
  <si>
    <t>Nieodpowiednie</t>
  </si>
  <si>
    <t>Naganne</t>
  </si>
  <si>
    <t>Imię Nazwisko</t>
  </si>
  <si>
    <t>Przedmiot</t>
  </si>
  <si>
    <t>Przedmiot1</t>
  </si>
  <si>
    <t>Przedmiot2</t>
  </si>
  <si>
    <t>Przedmiot3</t>
  </si>
  <si>
    <t>Przedmiot4</t>
  </si>
  <si>
    <t>Przedmiot5</t>
  </si>
  <si>
    <t>Liczba ndst</t>
  </si>
  <si>
    <t>Religia</t>
  </si>
  <si>
    <t>Język polski</t>
  </si>
  <si>
    <t>Język angielski</t>
  </si>
  <si>
    <t>Język niemiecki</t>
  </si>
  <si>
    <t>Język francuski</t>
  </si>
  <si>
    <t>Matematyka</t>
  </si>
  <si>
    <t>Historia</t>
  </si>
  <si>
    <t>Wiedza o społeczeństwie</t>
  </si>
  <si>
    <t>Geografia</t>
  </si>
  <si>
    <t>Fizyka z astronomią</t>
  </si>
  <si>
    <t>Chemia</t>
  </si>
  <si>
    <t>Podstawy przedsiębiorczości</t>
  </si>
  <si>
    <t>Technologia informacyjna</t>
  </si>
  <si>
    <t>Przysposobienie obronne</t>
  </si>
  <si>
    <t>Wychowanie fizyczne</t>
  </si>
  <si>
    <t>Wiedza o kulturze</t>
  </si>
  <si>
    <t>Biologia</t>
  </si>
  <si>
    <t>Bardzo Dobre</t>
  </si>
  <si>
    <t>Przedmiot6</t>
  </si>
  <si>
    <t>Przedmiot7</t>
  </si>
  <si>
    <t>Przedmiot8</t>
  </si>
  <si>
    <t>Przedmiot9</t>
  </si>
  <si>
    <t>Przedmiot10</t>
  </si>
  <si>
    <t>Przedmiot11</t>
  </si>
  <si>
    <t>Przedmiot12</t>
  </si>
  <si>
    <t>% UCZNIÓW BEZ OCEN NIEDOSTATECZNYCH</t>
  </si>
  <si>
    <t>DO EGZAMINU KLASYFIKACYJNEGO OGÓŁEM</t>
  </si>
  <si>
    <t>NIEDOSTATECZNE</t>
  </si>
  <si>
    <t>Niedostateczne</t>
  </si>
  <si>
    <t>Przedmioty</t>
  </si>
  <si>
    <t>ZACHOWANIE</t>
  </si>
  <si>
    <t>Podstawy ekonomii</t>
  </si>
  <si>
    <t>Technika biurowa</t>
  </si>
  <si>
    <t>Statystyka</t>
  </si>
  <si>
    <t>Ekonomika przedsiębiorstw</t>
  </si>
  <si>
    <t>Marketing</t>
  </si>
  <si>
    <t>Elementy prawa</t>
  </si>
  <si>
    <t>Technologia i towaroznastwo</t>
  </si>
  <si>
    <t>Rachunkowość przedsiębiorstw</t>
  </si>
  <si>
    <t>Pracownia ekon.-informatyczna</t>
  </si>
  <si>
    <t>Specjalizacja</t>
  </si>
  <si>
    <t>Kultura zawodu</t>
  </si>
  <si>
    <t>Język obcy zawodowy</t>
  </si>
  <si>
    <t>Podstawy ekonomiczne i prawne</t>
  </si>
  <si>
    <t>Zasady żywienia i techn. gastr.</t>
  </si>
  <si>
    <t>Obsługa konsumenta</t>
  </si>
  <si>
    <t>Organizacja i technika pracy</t>
  </si>
  <si>
    <t>Technika pracy biurowej</t>
  </si>
  <si>
    <t>Marketing w hotelarstwie</t>
  </si>
  <si>
    <t>Usługi turystyczne</t>
  </si>
  <si>
    <t>Podstawy rachunkowości i finansów</t>
  </si>
  <si>
    <t>Zajęcia praktyczne</t>
  </si>
  <si>
    <t>Wyposażenie zakładów gastr.</t>
  </si>
  <si>
    <t>Technologia gastr. z towaroznastwem</t>
  </si>
  <si>
    <t>Podstawy żywienia człowieka</t>
  </si>
  <si>
    <t>Organizacja i ekonomika gastronomii</t>
  </si>
  <si>
    <t>Pracownia gastronomiczna</t>
  </si>
  <si>
    <t>Podstawy biurowości</t>
  </si>
  <si>
    <t>Urządzanie zakładów gastr. i gosp. dom.</t>
  </si>
  <si>
    <t>Technologia gastr. z obsługą konsumenta</t>
  </si>
  <si>
    <t>Mikrobiologia żywności</t>
  </si>
  <si>
    <t>Przepisy ruchu drogowego</t>
  </si>
  <si>
    <t>Higiena i ochrona zdrowia</t>
  </si>
  <si>
    <t>Wybrane zagad. z psych. społ.</t>
  </si>
  <si>
    <t>Zarządzanie firmą</t>
  </si>
  <si>
    <t>Zasady rachunkowości</t>
  </si>
  <si>
    <t>Organizacja pracy w hotelarstwie</t>
  </si>
  <si>
    <t>Prawo</t>
  </si>
  <si>
    <t>Ekonomika</t>
  </si>
  <si>
    <t>Rachunkowość</t>
  </si>
  <si>
    <t>Pracownia ekonomiczna</t>
  </si>
  <si>
    <t>Ekonomia i prawo w hotelarstwie</t>
  </si>
  <si>
    <t>Obsługa informatyczna w hotelarstwie</t>
  </si>
  <si>
    <t>Marketing usług hotelarskich</t>
  </si>
  <si>
    <t>2009/2010</t>
  </si>
  <si>
    <t>2010/2011</t>
  </si>
  <si>
    <t>2011/2012</t>
  </si>
  <si>
    <t>2012/2013</t>
  </si>
  <si>
    <t>2013/2014</t>
  </si>
  <si>
    <t>2014/2015</t>
  </si>
  <si>
    <t>2015/2016</t>
  </si>
  <si>
    <t>1A T</t>
  </si>
  <si>
    <t>1B T</t>
  </si>
  <si>
    <t>1C T</t>
  </si>
  <si>
    <t>1D T</t>
  </si>
  <si>
    <t>1E T</t>
  </si>
  <si>
    <t>1F T</t>
  </si>
  <si>
    <t>2A T</t>
  </si>
  <si>
    <t>2B T</t>
  </si>
  <si>
    <t>2C T</t>
  </si>
  <si>
    <t>2D T</t>
  </si>
  <si>
    <t>2E T</t>
  </si>
  <si>
    <t>2F T</t>
  </si>
  <si>
    <t>3A T</t>
  </si>
  <si>
    <t>3B T</t>
  </si>
  <si>
    <t>3C T</t>
  </si>
  <si>
    <t>3D T</t>
  </si>
  <si>
    <t>3E T</t>
  </si>
  <si>
    <t>3F T</t>
  </si>
  <si>
    <t>1G T</t>
  </si>
  <si>
    <t>1H T</t>
  </si>
  <si>
    <t>2G T</t>
  </si>
  <si>
    <t>2H T</t>
  </si>
  <si>
    <t>3G T</t>
  </si>
  <si>
    <t>3H T</t>
  </si>
  <si>
    <t>Wybierz rok</t>
  </si>
  <si>
    <t>Wybierz klasę</t>
  </si>
  <si>
    <t>Podstawy logistyki</t>
  </si>
  <si>
    <t>Gospodarka zapasami i magazynem</t>
  </si>
  <si>
    <t>Ekonomika logistyki</t>
  </si>
  <si>
    <t>Transport i spedycja</t>
  </si>
  <si>
    <t>Planowanie logistyczne</t>
  </si>
  <si>
    <t>Systemy logistyczne</t>
  </si>
  <si>
    <t>Gospodarka elektroniczna</t>
  </si>
  <si>
    <t>Laboratorium logistyczno-spedycyjne</t>
  </si>
  <si>
    <t>Laboratorium magazynowe</t>
  </si>
  <si>
    <t>Język angielski dla logistyków</t>
  </si>
  <si>
    <t>Język obcy dla logistyków</t>
  </si>
  <si>
    <t>Język rosyjski</t>
  </si>
  <si>
    <t>Przedsiębiorstwo gastr.</t>
  </si>
  <si>
    <t>PROMOWANYCH Z WYRÓŻNIENIEM</t>
  </si>
  <si>
    <t>Podstawy żywienia i higieny</t>
  </si>
  <si>
    <t>Technologia gastronomiczna</t>
  </si>
  <si>
    <t>Wyposażenie zakładów gastr. i gosp. dom.</t>
  </si>
  <si>
    <t>Bezpieczeństwo i higiena pracy</t>
  </si>
  <si>
    <t>Przedmiot13</t>
  </si>
  <si>
    <t>Przedmiot14</t>
  </si>
  <si>
    <t>jako liczba większa od zera, np. 78,15</t>
  </si>
  <si>
    <t>Przedmiot15</t>
  </si>
  <si>
    <t>Przedmiot16</t>
  </si>
  <si>
    <t>Podstawy funkcjonowania przedsiębiorstwa</t>
  </si>
  <si>
    <t>Podstawy prawa i ochrona pracy</t>
  </si>
  <si>
    <t>Analiza ekonomiczna</t>
  </si>
  <si>
    <t>Rachunkowość finansowa</t>
  </si>
  <si>
    <t>Badania marketingowe</t>
  </si>
  <si>
    <t>Zarządzanie aktywami przedsiębiorstwa</t>
  </si>
  <si>
    <t>Kadry i płace</t>
  </si>
  <si>
    <t>Biuro rachunkowe</t>
  </si>
  <si>
    <t>Praktyka zawodowa</t>
  </si>
  <si>
    <t>Funkcjonowanie przedsiębiorstwa logistycznego w gosp. i BHP</t>
  </si>
  <si>
    <t>Środki transportu</t>
  </si>
  <si>
    <t>Pracownia planowania produkcji i dystrybucji</t>
  </si>
  <si>
    <t>Pracownia organizacji transportu</t>
  </si>
  <si>
    <t>Systemy informatyczne w logistyce</t>
  </si>
  <si>
    <t>Logistyka miejska</t>
  </si>
  <si>
    <t>Organizacja pracy recepcji i służby pięter</t>
  </si>
  <si>
    <t>Podstawy działalności gosp. w hotelarstwie</t>
  </si>
  <si>
    <t>Obsługa konsumenta w gastronomii hotelowej</t>
  </si>
  <si>
    <t>Organizacja usług dodatkowych w obiekcie hotelarskim</t>
  </si>
  <si>
    <t>Pracownia hotelarska</t>
  </si>
  <si>
    <t>Pracownia gastronomii hotelowej</t>
  </si>
  <si>
    <t>Pracownia obsługi informatycznej</t>
  </si>
  <si>
    <t>Technika w gastronomii</t>
  </si>
  <si>
    <t>Bezpieczeństwo w gastronomii</t>
  </si>
  <si>
    <t>Działalność gospodarcza w gastronomii</t>
  </si>
  <si>
    <t>Podstawy żywienia</t>
  </si>
  <si>
    <t>Organizacja produkcji gastronomicznej</t>
  </si>
  <si>
    <t>Planowanie usług gastronomicznych</t>
  </si>
  <si>
    <t>4A T</t>
  </si>
  <si>
    <t>4B T</t>
  </si>
  <si>
    <t>4C T</t>
  </si>
  <si>
    <t>4D T</t>
  </si>
  <si>
    <t>4E T</t>
  </si>
  <si>
    <t>4F T</t>
  </si>
  <si>
    <t>4G T</t>
  </si>
  <si>
    <t>4H T</t>
  </si>
  <si>
    <t>Fizyka</t>
  </si>
  <si>
    <t>Edukacja dla bezpieczeństwa</t>
  </si>
  <si>
    <t>Informatyka</t>
  </si>
  <si>
    <t>Podstawy hotelarstwa i turystyki</t>
  </si>
  <si>
    <t xml:space="preserve">Nazwisko i imię </t>
  </si>
  <si>
    <t>Z wyróżnieniem (wstaw krzyżyk)</t>
  </si>
  <si>
    <t>Zapasy i magazynowanie</t>
  </si>
  <si>
    <t>Dystrybucja</t>
  </si>
  <si>
    <t>Procesy transportowe w logistyce</t>
  </si>
  <si>
    <t>Logistyka w procesach produkcji</t>
  </si>
  <si>
    <t>Język obcy w logistyce</t>
  </si>
  <si>
    <t>Planowanie produkcji i dystrybucji</t>
  </si>
  <si>
    <t>Obsługa jednostek zewnętrznych</t>
  </si>
  <si>
    <t>Planowanie przepływu zasobów i informacji</t>
  </si>
  <si>
    <t>Historia i społeczeństwo</t>
  </si>
  <si>
    <t>Działalność recepcji</t>
  </si>
  <si>
    <t>Usługi żywieniowe w hotelarstwie</t>
  </si>
  <si>
    <t>Techniki pracy w hotelarstwie</t>
  </si>
  <si>
    <t>Przedsiębiorstwo logistyczne w gospodarce rynkowej</t>
  </si>
  <si>
    <t>Logistyka zaopatrzenia i  produkcji</t>
  </si>
  <si>
    <t>Usługi transportowo- spedycyjne</t>
  </si>
  <si>
    <t>Podstawy działalności przedsiębiosrtwa hotelarskiego</t>
  </si>
  <si>
    <t>Język obcy w hotelarstwie</t>
  </si>
  <si>
    <t>Logistyka w jednostkach administracyjnych i gospodarczych</t>
  </si>
  <si>
    <t>.</t>
  </si>
  <si>
    <t>drugi</t>
  </si>
  <si>
    <t>Lista uczniów, którzy ukończyli szkołę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</si>
</sst>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 applyProtection="1">
      <alignment horizontal="center" vertical="center" wrapText="1"/>
      <protection/>
    </xf>
    <xf numFmtId="10" fontId="0" fillId="0" borderId="0" xfId="0" applyNumberFormat="1" applyBorder="1" applyAlignment="1" applyProtection="1">
      <alignment horizontal="center" vertical="center" wrapText="1"/>
      <protection/>
    </xf>
    <xf numFmtId="2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/>
    </xf>
    <xf numFmtId="10" fontId="3" fillId="0" borderId="1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>
      <alignment vertical="top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0" fontId="3" fillId="0" borderId="10" xfId="0" applyNumberFormat="1" applyFont="1" applyBorder="1" applyAlignment="1">
      <alignment horizontal="center" vertical="top" wrapText="1"/>
    </xf>
    <xf numFmtId="1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9525</xdr:rowOff>
    </xdr:from>
    <xdr:to>
      <xdr:col>2</xdr:col>
      <xdr:colOff>9525</xdr:colOff>
      <xdr:row>26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4791075"/>
          <a:ext cx="5210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E45"/>
  <sheetViews>
    <sheetView workbookViewId="0" topLeftCell="A13">
      <selection activeCell="B3" sqref="B3"/>
    </sheetView>
  </sheetViews>
  <sheetFormatPr defaultColWidth="9.00390625" defaultRowHeight="12.75"/>
  <cols>
    <col min="1" max="1" width="52.125" style="0" customWidth="1"/>
    <col min="2" max="2" width="36.75390625" style="0" customWidth="1"/>
    <col min="3" max="3" width="80.375" style="0" hidden="1" customWidth="1"/>
    <col min="4" max="4" width="35.00390625" style="0" customWidth="1"/>
    <col min="5" max="5" width="10.125" style="0" bestFit="1" customWidth="1"/>
  </cols>
  <sheetData>
    <row r="1" spans="1:3" ht="15">
      <c r="A1" s="20" t="s">
        <v>0</v>
      </c>
      <c r="B1" s="21"/>
      <c r="C1" s="4"/>
    </row>
    <row r="2" spans="1:3" ht="15">
      <c r="A2" s="20"/>
      <c r="B2" s="22"/>
      <c r="C2" s="5"/>
    </row>
    <row r="3" spans="1:3" ht="15">
      <c r="A3" s="20" t="s">
        <v>1</v>
      </c>
      <c r="B3" s="65" t="s">
        <v>228</v>
      </c>
      <c r="C3" s="6"/>
    </row>
    <row r="4" spans="1:3" ht="15">
      <c r="A4" s="20"/>
      <c r="B4" s="22"/>
      <c r="C4" s="5"/>
    </row>
    <row r="5" spans="1:5" ht="15">
      <c r="A5" s="20" t="s">
        <v>2</v>
      </c>
      <c r="B5" s="19" t="s">
        <v>142</v>
      </c>
      <c r="C5" s="6"/>
      <c r="E5" s="7"/>
    </row>
    <row r="6" spans="1:3" ht="15">
      <c r="A6" s="20"/>
      <c r="B6" s="22"/>
      <c r="C6" s="5"/>
    </row>
    <row r="7" spans="1:3" s="13" customFormat="1" ht="15">
      <c r="A7" s="23" t="s">
        <v>3</v>
      </c>
      <c r="B7" s="24" t="s">
        <v>143</v>
      </c>
      <c r="C7" s="12"/>
    </row>
    <row r="8" spans="1:4" s="13" customFormat="1" ht="15">
      <c r="A8" s="23" t="s">
        <v>4</v>
      </c>
      <c r="B8" s="25"/>
      <c r="C8" s="11"/>
      <c r="D8" s="14" t="str">
        <f>IF(B8=(B9+B10),"OK","BŁĄD")</f>
        <v>OK</v>
      </c>
    </row>
    <row r="9" spans="1:3" s="13" customFormat="1" ht="15">
      <c r="A9" s="23" t="s">
        <v>5</v>
      </c>
      <c r="B9" s="25"/>
      <c r="C9" s="11"/>
    </row>
    <row r="10" spans="1:3" s="13" customFormat="1" ht="15">
      <c r="A10" s="23" t="s">
        <v>10</v>
      </c>
      <c r="B10" s="25"/>
      <c r="C10" s="11"/>
    </row>
    <row r="11" spans="1:3" s="13" customFormat="1" ht="15">
      <c r="A11" s="26" t="s">
        <v>11</v>
      </c>
      <c r="B11" s="25"/>
      <c r="C11" s="18"/>
    </row>
    <row r="12" spans="1:3" s="13" customFormat="1" ht="15">
      <c r="A12" s="26" t="s">
        <v>12</v>
      </c>
      <c r="B12" s="25"/>
      <c r="C12" s="18"/>
    </row>
    <row r="13" spans="1:4" s="13" customFormat="1" ht="15">
      <c r="A13" s="26" t="s">
        <v>13</v>
      </c>
      <c r="B13" s="25"/>
      <c r="C13" s="18"/>
      <c r="D13" s="14" t="str">
        <f>IF(B10=(B11+B12+B13),"OK","BŁĄD")</f>
        <v>OK</v>
      </c>
    </row>
    <row r="14" spans="1:3" s="13" customFormat="1" ht="15">
      <c r="A14" s="27" t="s">
        <v>64</v>
      </c>
      <c r="B14" s="28"/>
      <c r="C14" s="15"/>
    </row>
    <row r="15" spans="1:3" s="13" customFormat="1" ht="15">
      <c r="A15" s="26" t="s">
        <v>6</v>
      </c>
      <c r="B15" s="25"/>
      <c r="C15" s="12"/>
    </row>
    <row r="16" spans="1:3" s="13" customFormat="1" ht="15">
      <c r="A16" s="26" t="s">
        <v>7</v>
      </c>
      <c r="B16" s="25"/>
      <c r="C16" s="18"/>
    </row>
    <row r="17" spans="1:3" s="13" customFormat="1" ht="15">
      <c r="A17" s="26" t="s">
        <v>8</v>
      </c>
      <c r="B17" s="25"/>
      <c r="C17" s="18"/>
    </row>
    <row r="18" spans="1:3" s="13" customFormat="1" ht="15">
      <c r="A18" s="26" t="s">
        <v>9</v>
      </c>
      <c r="B18" s="25"/>
      <c r="C18" s="18"/>
    </row>
    <row r="19" spans="1:4" s="13" customFormat="1" ht="15">
      <c r="A19" s="26" t="s">
        <v>62</v>
      </c>
      <c r="B19" s="29">
        <f>IF(B8=0,0,B15/B8)</f>
        <v>0</v>
      </c>
      <c r="C19" s="16"/>
      <c r="D19" s="14" t="str">
        <f>IF(B8=(B15+B16+B17+B18),"OK","BŁĄD")</f>
        <v>OK</v>
      </c>
    </row>
    <row r="20" spans="1:3" s="13" customFormat="1" ht="15">
      <c r="A20" s="23" t="s">
        <v>14</v>
      </c>
      <c r="B20" s="30"/>
      <c r="C20" s="17"/>
    </row>
    <row r="21" spans="1:4" s="13" customFormat="1" ht="15" customHeight="1">
      <c r="A21" s="23" t="s">
        <v>15</v>
      </c>
      <c r="B21" s="30"/>
      <c r="C21" s="17"/>
      <c r="D21" s="14" t="s">
        <v>164</v>
      </c>
    </row>
    <row r="22" spans="1:3" s="13" customFormat="1" ht="15">
      <c r="A22" s="23" t="s">
        <v>16</v>
      </c>
      <c r="B22" s="30"/>
      <c r="C22" s="17"/>
    </row>
    <row r="23" spans="1:3" s="13" customFormat="1" ht="15">
      <c r="A23" s="23" t="s">
        <v>17</v>
      </c>
      <c r="B23" s="25"/>
      <c r="C23" s="11"/>
    </row>
    <row r="24" spans="1:3" s="13" customFormat="1" ht="15">
      <c r="A24" s="26" t="s">
        <v>18</v>
      </c>
      <c r="B24" s="25"/>
      <c r="C24" s="11"/>
    </row>
    <row r="25" spans="1:4" s="13" customFormat="1" ht="15">
      <c r="A25" s="26" t="s">
        <v>19</v>
      </c>
      <c r="B25" s="25"/>
      <c r="C25" s="11"/>
      <c r="D25" s="14" t="str">
        <f>IF(B23=(B24+B25),"OK","BŁĄD")</f>
        <v>OK</v>
      </c>
    </row>
    <row r="26" spans="1:4" s="13" customFormat="1" ht="15">
      <c r="A26" s="63" t="s">
        <v>157</v>
      </c>
      <c r="B26" s="25"/>
      <c r="C26" s="11"/>
      <c r="D26" s="14"/>
    </row>
    <row r="27" spans="1:3" s="13" customFormat="1" ht="15">
      <c r="A27" s="23" t="s">
        <v>20</v>
      </c>
      <c r="B27" s="25"/>
      <c r="C27" s="11"/>
    </row>
    <row r="28" spans="1:3" s="13" customFormat="1" ht="15">
      <c r="A28" s="26" t="s">
        <v>18</v>
      </c>
      <c r="B28" s="25"/>
      <c r="C28" s="11"/>
    </row>
    <row r="29" spans="1:4" s="13" customFormat="1" ht="15">
      <c r="A29" s="26" t="s">
        <v>19</v>
      </c>
      <c r="B29" s="25"/>
      <c r="C29" s="11"/>
      <c r="D29" s="14" t="str">
        <f>IF(B27=(B28+B29),"OK","BŁĄD")</f>
        <v>OK</v>
      </c>
    </row>
    <row r="30" spans="1:3" s="13" customFormat="1" ht="15">
      <c r="A30" s="23" t="s">
        <v>21</v>
      </c>
      <c r="B30" s="25"/>
      <c r="C30" s="11"/>
    </row>
    <row r="31" spans="1:3" s="13" customFormat="1" ht="15">
      <c r="A31" s="26" t="s">
        <v>18</v>
      </c>
      <c r="B31" s="25"/>
      <c r="C31" s="11"/>
    </row>
    <row r="32" spans="1:4" s="13" customFormat="1" ht="15">
      <c r="A32" s="26" t="s">
        <v>19</v>
      </c>
      <c r="B32" s="25"/>
      <c r="C32" s="11"/>
      <c r="D32" s="14" t="str">
        <f>IF(B30=(B31+B32),"OK","BŁĄD")</f>
        <v>OK</v>
      </c>
    </row>
    <row r="33" spans="1:3" s="13" customFormat="1" ht="15">
      <c r="A33" s="23" t="s">
        <v>63</v>
      </c>
      <c r="B33" s="25"/>
      <c r="C33" s="11"/>
    </row>
    <row r="34" spans="1:3" s="13" customFormat="1" ht="15">
      <c r="A34" s="26" t="s">
        <v>18</v>
      </c>
      <c r="B34" s="25"/>
      <c r="C34" s="11"/>
    </row>
    <row r="35" spans="1:4" s="13" customFormat="1" ht="15">
      <c r="A35" s="26" t="s">
        <v>19</v>
      </c>
      <c r="B35" s="25"/>
      <c r="C35" s="11"/>
      <c r="D35" s="14" t="str">
        <f>IF(B33=(B34+B35),"OK","BŁĄD")</f>
        <v>OK</v>
      </c>
    </row>
    <row r="36" spans="1:3" s="13" customFormat="1" ht="15">
      <c r="A36" s="23" t="s">
        <v>22</v>
      </c>
      <c r="B36" s="25"/>
      <c r="C36" s="11"/>
    </row>
    <row r="37" spans="1:3" s="13" customFormat="1" ht="15">
      <c r="A37" s="26" t="s">
        <v>23</v>
      </c>
      <c r="B37" s="25"/>
      <c r="C37" s="18"/>
    </row>
    <row r="38" spans="1:3" s="13" customFormat="1" ht="15">
      <c r="A38" s="26" t="s">
        <v>24</v>
      </c>
      <c r="B38" s="25"/>
      <c r="C38" s="18"/>
    </row>
    <row r="39" spans="1:3" s="13" customFormat="1" ht="15">
      <c r="A39" s="26" t="s">
        <v>25</v>
      </c>
      <c r="B39" s="25"/>
      <c r="C39" s="18"/>
    </row>
    <row r="40" spans="1:3" s="13" customFormat="1" ht="15">
      <c r="A40" s="26" t="s">
        <v>26</v>
      </c>
      <c r="B40" s="25"/>
      <c r="C40" s="18"/>
    </row>
    <row r="41" spans="1:3" s="13" customFormat="1" ht="15">
      <c r="A41" s="26" t="s">
        <v>27</v>
      </c>
      <c r="B41" s="25"/>
      <c r="C41" s="18"/>
    </row>
    <row r="42" spans="1:4" s="13" customFormat="1" ht="15">
      <c r="A42" s="26" t="s">
        <v>28</v>
      </c>
      <c r="B42" s="25"/>
      <c r="C42" s="18"/>
      <c r="D42" s="14" t="str">
        <f>IF(B8=(B37+B38+B39+B40+B41+B42),"OK","BŁĄD")</f>
        <v>OK</v>
      </c>
    </row>
    <row r="43" ht="12.75" customHeight="1"/>
    <row r="44" ht="12.75" customHeight="1"/>
    <row r="45" ht="12.75" customHeight="1">
      <c r="A45" s="68" t="s">
        <v>227</v>
      </c>
    </row>
    <row r="46" ht="12.75" customHeight="1"/>
    <row r="47" ht="12.75" customHeight="1"/>
    <row r="48" ht="12.75" customHeight="1"/>
  </sheetData>
  <sheetProtection/>
  <conditionalFormatting sqref="D42 D29 D25:D26 D13 D8 D32:D35 D19">
    <cfRule type="cellIs" priority="5" dxfId="1" operator="equal" stopIfTrue="1">
      <formula>"OK"</formula>
    </cfRule>
    <cfRule type="cellIs" priority="6" dxfId="0" operator="equal" stopIfTrue="1">
      <formula>"BŁĄD"</formula>
    </cfRule>
  </conditionalFormatting>
  <dataValidations count="5">
    <dataValidation type="list" allowBlank="1" showInputMessage="1" showErrorMessage="1" promptTitle="Nauczycielu" prompt="wybierz rok szkolny" sqref="B5">
      <formula1>rok</formula1>
    </dataValidation>
    <dataValidation type="list" allowBlank="1" showInputMessage="1" showErrorMessage="1" promptTitle="Nauczycielu" prompt="wybierz swoją klasę" sqref="B7">
      <formula1>klasa</formula1>
    </dataValidation>
    <dataValidation type="decimal" allowBlank="1" showInputMessage="1" showErrorMessage="1" sqref="B20">
      <formula1>0</formula1>
      <formula2>6</formula2>
    </dataValidation>
    <dataValidation type="decimal" allowBlank="1" showInputMessage="1" showErrorMessage="1" sqref="B21">
      <formula1>0</formula1>
      <formula2>100</formula2>
    </dataValidation>
    <dataValidation type="decimal" allowBlank="1" showInputMessage="1" showErrorMessage="1" sqref="B22">
      <formula1>0</formula1>
      <formula2>50</formula2>
    </dataValidation>
  </dataValidation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E60"/>
  <sheetViews>
    <sheetView zoomScalePageLayoutView="0" workbookViewId="0" topLeftCell="A1">
      <selection activeCell="V73" sqref="V1:V73"/>
    </sheetView>
  </sheetViews>
  <sheetFormatPr defaultColWidth="9.00390625" defaultRowHeight="12.75"/>
  <cols>
    <col min="1" max="1" width="28.625" style="0" bestFit="1" customWidth="1"/>
    <col min="2" max="2" width="68.25390625" style="0" customWidth="1"/>
    <col min="3" max="3" width="1.875" style="0" customWidth="1"/>
    <col min="4" max="4" width="28.125" style="0" customWidth="1"/>
    <col min="5" max="5" width="4.125" style="0" customWidth="1"/>
    <col min="22" max="22" width="36.25390625" style="0" bestFit="1" customWidth="1"/>
  </cols>
  <sheetData>
    <row r="1" spans="1:5" ht="15.75">
      <c r="A1" s="69" t="s">
        <v>65</v>
      </c>
      <c r="B1" s="69"/>
      <c r="C1" s="33"/>
      <c r="D1" s="70" t="s">
        <v>66</v>
      </c>
      <c r="E1" s="70"/>
    </row>
    <row r="2" spans="1:5" ht="15">
      <c r="A2" s="50">
        <f>ndst!A2</f>
        <v>0</v>
      </c>
      <c r="B2" s="48"/>
      <c r="C2" s="34"/>
      <c r="D2" s="51"/>
      <c r="E2" s="44"/>
    </row>
    <row r="3" spans="1:5" ht="15">
      <c r="A3" s="50">
        <f>ndst!A3</f>
        <v>0</v>
      </c>
      <c r="B3" s="49"/>
      <c r="C3" s="35"/>
      <c r="D3" s="52"/>
      <c r="E3" s="44"/>
    </row>
    <row r="4" spans="1:5" ht="15">
      <c r="A4" s="50">
        <f>ndst!A4</f>
        <v>0</v>
      </c>
      <c r="B4" s="48"/>
      <c r="C4" s="34"/>
      <c r="D4" s="52"/>
      <c r="E4" s="44"/>
    </row>
    <row r="5" spans="1:5" ht="15">
      <c r="A5" s="50">
        <f>ndst!A5</f>
        <v>0</v>
      </c>
      <c r="B5" s="49"/>
      <c r="C5" s="35"/>
      <c r="D5" s="52"/>
      <c r="E5" s="44"/>
    </row>
    <row r="6" spans="1:5" ht="15">
      <c r="A6" s="50">
        <f>ndst!A6</f>
        <v>0</v>
      </c>
      <c r="B6" s="48"/>
      <c r="C6" s="34"/>
      <c r="D6" s="52"/>
      <c r="E6" s="44"/>
    </row>
    <row r="7" spans="1:5" ht="15">
      <c r="A7" s="50">
        <f>ndst!A7</f>
        <v>0</v>
      </c>
      <c r="B7" s="49"/>
      <c r="C7" s="36"/>
      <c r="D7" s="52"/>
      <c r="E7" s="44"/>
    </row>
    <row r="8" spans="1:5" ht="15">
      <c r="A8" s="50">
        <f>ndst!A8</f>
        <v>0</v>
      </c>
      <c r="B8" s="50"/>
      <c r="C8" s="31"/>
      <c r="D8" s="52"/>
      <c r="E8" s="44"/>
    </row>
    <row r="9" spans="1:5" ht="15">
      <c r="A9" s="50">
        <f>ndst!A9</f>
        <v>0</v>
      </c>
      <c r="B9" s="50"/>
      <c r="C9" s="31"/>
      <c r="D9" s="53"/>
      <c r="E9" s="45"/>
    </row>
    <row r="10" spans="1:5" ht="15">
      <c r="A10" s="50">
        <f>ndst!A10</f>
        <v>0</v>
      </c>
      <c r="B10" s="50"/>
      <c r="C10" s="31"/>
      <c r="D10" s="53"/>
      <c r="E10" s="45"/>
    </row>
    <row r="11" spans="1:5" ht="15">
      <c r="A11" s="50">
        <f>ndst!A11</f>
        <v>0</v>
      </c>
      <c r="B11" s="50"/>
      <c r="C11" s="31"/>
      <c r="D11" s="53"/>
      <c r="E11" s="45"/>
    </row>
    <row r="12" spans="1:5" ht="15">
      <c r="A12" s="50">
        <f>ndst!A12</f>
        <v>0</v>
      </c>
      <c r="B12" s="50"/>
      <c r="C12" s="31"/>
      <c r="D12" s="53"/>
      <c r="E12" s="45"/>
    </row>
    <row r="13" spans="1:5" ht="15">
      <c r="A13" s="50">
        <f>ndst!A13</f>
        <v>0</v>
      </c>
      <c r="B13" s="50"/>
      <c r="C13" s="31"/>
      <c r="D13" s="53"/>
      <c r="E13" s="45"/>
    </row>
    <row r="14" spans="1:5" ht="15">
      <c r="A14" s="50">
        <f>ndst!A14</f>
        <v>0</v>
      </c>
      <c r="B14" s="50"/>
      <c r="C14" s="31"/>
      <c r="D14" s="53"/>
      <c r="E14" s="45"/>
    </row>
    <row r="15" spans="1:5" ht="15">
      <c r="A15" s="50">
        <f>ndst!A15</f>
        <v>0</v>
      </c>
      <c r="B15" s="50"/>
      <c r="C15" s="31"/>
      <c r="D15" s="53"/>
      <c r="E15" s="45"/>
    </row>
    <row r="16" spans="1:5" ht="15">
      <c r="A16" s="37"/>
      <c r="B16" s="31"/>
      <c r="C16" s="31"/>
      <c r="D16" s="42"/>
      <c r="E16" s="43"/>
    </row>
    <row r="17" spans="1:5" ht="15.75">
      <c r="A17" s="69" t="s">
        <v>67</v>
      </c>
      <c r="B17" s="69"/>
      <c r="C17" s="39"/>
      <c r="D17" s="39"/>
      <c r="E17" s="39"/>
    </row>
    <row r="18" spans="1:5" ht="15">
      <c r="A18" s="46" t="s">
        <v>23</v>
      </c>
      <c r="B18" s="47"/>
      <c r="C18" s="32"/>
      <c r="D18" s="41"/>
      <c r="E18" s="40"/>
    </row>
    <row r="19" spans="1:5" ht="15">
      <c r="A19" s="46" t="s">
        <v>24</v>
      </c>
      <c r="B19" s="47"/>
      <c r="C19" s="32"/>
      <c r="D19" s="38"/>
      <c r="E19" s="38"/>
    </row>
    <row r="20" spans="1:5" ht="15">
      <c r="A20" s="46" t="s">
        <v>25</v>
      </c>
      <c r="B20" s="47"/>
      <c r="C20" s="32"/>
      <c r="D20" s="38"/>
      <c r="E20" s="38"/>
    </row>
    <row r="21" spans="1:5" ht="15">
      <c r="A21" s="46" t="s">
        <v>26</v>
      </c>
      <c r="B21" s="47"/>
      <c r="C21" s="32"/>
      <c r="D21" s="38"/>
      <c r="E21" s="38"/>
    </row>
    <row r="22" spans="1:5" ht="15">
      <c r="A22" s="46" t="s">
        <v>27</v>
      </c>
      <c r="B22" s="46"/>
      <c r="C22" s="38"/>
      <c r="D22" s="38"/>
      <c r="E22" s="38"/>
    </row>
    <row r="23" spans="1:5" ht="15">
      <c r="A23" s="46" t="s">
        <v>28</v>
      </c>
      <c r="B23" s="46"/>
      <c r="C23" s="38"/>
      <c r="D23" s="38"/>
      <c r="E23" s="38"/>
    </row>
    <row r="24" spans="1:5" ht="15">
      <c r="A24" s="38"/>
      <c r="B24" s="38"/>
      <c r="C24" s="38"/>
      <c r="D24" s="38"/>
      <c r="E24" s="38"/>
    </row>
    <row r="25" spans="1:5" ht="15">
      <c r="A25" s="38"/>
      <c r="B25" s="38"/>
      <c r="C25" s="38"/>
      <c r="D25" s="38"/>
      <c r="E25" s="38"/>
    </row>
    <row r="26" spans="2:3" ht="15">
      <c r="B26" s="38"/>
      <c r="C26" s="38"/>
    </row>
    <row r="27" spans="2:3" ht="15">
      <c r="B27" s="38"/>
      <c r="C27" s="38"/>
    </row>
    <row r="28" spans="2:3" ht="15">
      <c r="B28" s="38"/>
      <c r="C28" s="38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</sheetData>
  <sheetProtection/>
  <mergeCells count="3">
    <mergeCell ref="A17:B17"/>
    <mergeCell ref="A1:B1"/>
    <mergeCell ref="D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R3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3.75390625" style="0" bestFit="1" customWidth="1"/>
    <col min="2" max="15" width="16.75390625" style="0" customWidth="1"/>
    <col min="16" max="16" width="15.625" style="0" customWidth="1"/>
    <col min="17" max="17" width="16.375" style="0" customWidth="1"/>
    <col min="18" max="18" width="11.75390625" style="0" customWidth="1"/>
  </cols>
  <sheetData>
    <row r="1" spans="1:18" ht="12.75">
      <c r="A1" s="1" t="s">
        <v>29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55</v>
      </c>
      <c r="H1" s="2" t="s">
        <v>56</v>
      </c>
      <c r="I1" s="2" t="s">
        <v>57</v>
      </c>
      <c r="J1" s="1" t="s">
        <v>58</v>
      </c>
      <c r="K1" s="1" t="s">
        <v>59</v>
      </c>
      <c r="L1" s="1" t="s">
        <v>60</v>
      </c>
      <c r="M1" s="1" t="s">
        <v>61</v>
      </c>
      <c r="N1" s="1" t="s">
        <v>162</v>
      </c>
      <c r="O1" s="1" t="s">
        <v>163</v>
      </c>
      <c r="P1" s="1" t="s">
        <v>165</v>
      </c>
      <c r="Q1" s="1" t="s">
        <v>166</v>
      </c>
      <c r="R1" s="1"/>
    </row>
    <row r="2" spans="1:13" ht="12.75">
      <c r="A2" s="4"/>
      <c r="B2" s="10"/>
      <c r="C2" s="10"/>
      <c r="D2" s="10"/>
      <c r="E2" s="10"/>
      <c r="F2" s="10"/>
      <c r="G2" s="10"/>
      <c r="H2" s="10"/>
      <c r="I2" s="8"/>
      <c r="J2" s="8"/>
      <c r="K2" s="8"/>
      <c r="L2" s="8"/>
      <c r="M2" s="8"/>
    </row>
    <row r="3" spans="1:13" ht="12.75">
      <c r="A3" s="4"/>
      <c r="B3" s="10"/>
      <c r="C3" s="10"/>
      <c r="D3" s="10"/>
      <c r="E3" s="10"/>
      <c r="F3" s="10"/>
      <c r="G3" s="10"/>
      <c r="H3" s="10"/>
      <c r="I3" s="8"/>
      <c r="J3" s="8"/>
      <c r="K3" s="8"/>
      <c r="L3" s="8"/>
      <c r="M3" s="8"/>
    </row>
    <row r="4" spans="1:17" ht="12.75">
      <c r="A4" s="4"/>
      <c r="B4" s="10"/>
      <c r="C4" s="10"/>
      <c r="D4" s="10"/>
      <c r="E4" s="10"/>
      <c r="F4" s="10"/>
      <c r="G4" s="10"/>
      <c r="H4" s="10"/>
      <c r="I4" s="8"/>
      <c r="J4" s="8"/>
      <c r="K4" s="8"/>
      <c r="L4" s="8"/>
      <c r="M4" s="8"/>
      <c r="O4" s="3"/>
      <c r="P4" s="3"/>
      <c r="Q4" s="3"/>
    </row>
    <row r="5" spans="1:13" ht="12.75">
      <c r="A5" s="4"/>
      <c r="B5" s="10"/>
      <c r="C5" s="10"/>
      <c r="D5" s="10"/>
      <c r="E5" s="10"/>
      <c r="F5" s="10"/>
      <c r="G5" s="10"/>
      <c r="H5" s="10"/>
      <c r="I5" s="8"/>
      <c r="J5" s="8"/>
      <c r="K5" s="8"/>
      <c r="L5" s="8"/>
      <c r="M5" s="8"/>
    </row>
    <row r="6" spans="1:13" ht="12.75">
      <c r="A6" s="4"/>
      <c r="B6" s="10"/>
      <c r="C6" s="10"/>
      <c r="D6" s="10"/>
      <c r="E6" s="10"/>
      <c r="F6" s="10"/>
      <c r="G6" s="10"/>
      <c r="H6" s="10"/>
      <c r="I6" s="8"/>
      <c r="J6" s="8"/>
      <c r="K6" s="8"/>
      <c r="L6" s="8"/>
      <c r="M6" s="8"/>
    </row>
    <row r="7" spans="1:13" ht="12.75">
      <c r="A7" s="4"/>
      <c r="B7" s="10"/>
      <c r="C7" s="10"/>
      <c r="D7" s="10"/>
      <c r="E7" s="10"/>
      <c r="F7" s="10"/>
      <c r="G7" s="10"/>
      <c r="H7" s="10"/>
      <c r="I7" s="8"/>
      <c r="J7" s="8"/>
      <c r="K7" s="8"/>
      <c r="L7" s="8"/>
      <c r="M7" s="8"/>
    </row>
    <row r="8" spans="1:13" ht="12.75">
      <c r="A8" s="4"/>
      <c r="B8" s="10"/>
      <c r="C8" s="10"/>
      <c r="D8" s="10"/>
      <c r="E8" s="10"/>
      <c r="F8" s="10"/>
      <c r="G8" s="10"/>
      <c r="H8" s="10"/>
      <c r="I8" s="8"/>
      <c r="J8" s="8"/>
      <c r="K8" s="8"/>
      <c r="L8" s="8"/>
      <c r="M8" s="8"/>
    </row>
    <row r="9" spans="1:13" ht="12.75">
      <c r="A9" s="4"/>
      <c r="B9" s="10"/>
      <c r="C9" s="10"/>
      <c r="D9" s="10"/>
      <c r="E9" s="10"/>
      <c r="F9" s="10"/>
      <c r="G9" s="10"/>
      <c r="H9" s="10"/>
      <c r="I9" s="8"/>
      <c r="J9" s="8"/>
      <c r="K9" s="8"/>
      <c r="L9" s="8"/>
      <c r="M9" s="8"/>
    </row>
    <row r="10" spans="1:13" ht="12.75">
      <c r="A10" s="4"/>
      <c r="B10" s="10"/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</row>
    <row r="11" spans="1:13" ht="12.75">
      <c r="A11" s="8"/>
      <c r="B11" s="10"/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</row>
    <row r="12" spans="1:13" ht="12.75">
      <c r="A12" s="8"/>
      <c r="B12" s="10"/>
      <c r="C12" s="10"/>
      <c r="D12" s="10"/>
      <c r="E12" s="10"/>
      <c r="F12" s="10"/>
      <c r="G12" s="10"/>
      <c r="H12" s="10"/>
      <c r="I12" s="8"/>
      <c r="J12" s="8"/>
      <c r="K12" s="8"/>
      <c r="L12" s="8"/>
      <c r="M12" s="8"/>
    </row>
    <row r="13" spans="1:13" ht="12.75">
      <c r="A13" s="8"/>
      <c r="B13" s="10"/>
      <c r="C13" s="10"/>
      <c r="D13" s="10"/>
      <c r="E13" s="10"/>
      <c r="F13" s="10"/>
      <c r="G13" s="10"/>
      <c r="H13" s="10"/>
      <c r="I13" s="8"/>
      <c r="J13" s="8"/>
      <c r="K13" s="8"/>
      <c r="L13" s="8"/>
      <c r="M13" s="8"/>
    </row>
    <row r="14" spans="1:13" ht="12.75">
      <c r="A14" s="8"/>
      <c r="B14" s="10"/>
      <c r="C14" s="10"/>
      <c r="D14" s="10"/>
      <c r="E14" s="10"/>
      <c r="F14" s="10"/>
      <c r="G14" s="10"/>
      <c r="H14" s="10"/>
      <c r="I14" s="8"/>
      <c r="J14" s="8"/>
      <c r="K14" s="8"/>
      <c r="L14" s="8"/>
      <c r="M14" s="8"/>
    </row>
    <row r="15" spans="1:13" ht="12.75">
      <c r="A15" s="8"/>
      <c r="B15" s="10"/>
      <c r="C15" s="10"/>
      <c r="D15" s="10"/>
      <c r="E15" s="10"/>
      <c r="F15" s="10"/>
      <c r="G15" s="10"/>
      <c r="H15" s="10"/>
      <c r="I15" s="8"/>
      <c r="J15" s="8"/>
      <c r="K15" s="8"/>
      <c r="L15" s="8"/>
      <c r="M15" s="8"/>
    </row>
    <row r="16" spans="1:13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4" ht="12.75">
      <c r="B37" s="2" t="str">
        <f>IF(COUNTA(B2:B36)=(ogólnie!B16+ogólnie!B17+ogólnie!B18),"OK","BŁĄD")</f>
        <v>OK</v>
      </c>
      <c r="C37" s="2" t="str">
        <f>IF(COUNTA(C2:C36)=(ogólnie!B17+ogólnie!B18),"OK","BŁĄD")</f>
        <v>OK</v>
      </c>
      <c r="D37" s="2" t="str">
        <f>IF(COUNTA(D2:D36)=ogólnie!B18,"OK","BŁĄD")</f>
        <v>OK</v>
      </c>
    </row>
  </sheetData>
  <sheetProtection password="CE0A" sheet="1"/>
  <conditionalFormatting sqref="B37:D37">
    <cfRule type="cellIs" priority="1" dxfId="1" operator="equal" stopIfTrue="1">
      <formula>"OK"</formula>
    </cfRule>
    <cfRule type="cellIs" priority="2" dxfId="0" operator="equal" stopIfTrue="1">
      <formula>"BŁĄD"</formula>
    </cfRule>
  </conditionalFormatting>
  <dataValidations count="2">
    <dataValidation type="list" allowBlank="1" showInputMessage="1" showErrorMessage="1" promptTitle="Nauczycielu" prompt="Wybierz przedmiot" sqref="B2:M36">
      <formula1>Przedmioty</formula1>
    </dataValidation>
    <dataValidation type="list" allowBlank="1" showInputMessage="1" showErrorMessage="1" promptTitle="Nauczycielu" prompt="Wybierz przedmiot" sqref="N2:Q36">
      <formula1>Przedmioty</formula1>
    </dataValidation>
  </dataValidations>
  <printOptions/>
  <pageMargins left="0.75" right="0.75" top="1" bottom="1" header="0.5" footer="0.5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F128"/>
  <sheetViews>
    <sheetView zoomScalePageLayoutView="0" workbookViewId="0" topLeftCell="A28">
      <selection activeCell="E25" sqref="E25"/>
    </sheetView>
  </sheetViews>
  <sheetFormatPr defaultColWidth="9.00390625" defaultRowHeight="12.75"/>
  <cols>
    <col min="1" max="1" width="54.75390625" style="0" bestFit="1" customWidth="1"/>
    <col min="2" max="6" width="11.25390625" style="0" bestFit="1" customWidth="1"/>
  </cols>
  <sheetData>
    <row r="1" spans="1:6" ht="12.75">
      <c r="A1" s="1" t="s">
        <v>30</v>
      </c>
      <c r="B1" s="1" t="s">
        <v>36</v>
      </c>
      <c r="C1" s="1"/>
      <c r="D1" s="1"/>
      <c r="E1" s="1"/>
      <c r="F1" s="1"/>
    </row>
    <row r="2" spans="1:2" ht="12.75">
      <c r="A2" t="s">
        <v>169</v>
      </c>
      <c r="B2">
        <f>COUNTIF(ndst!$B$2:$Q$36,"Analiza ekonomiczna")</f>
        <v>0</v>
      </c>
    </row>
    <row r="3" spans="1:2" ht="12.75">
      <c r="A3" t="s">
        <v>171</v>
      </c>
      <c r="B3">
        <f>COUNTIF(ndst!$B$2:$Q$36,"Badania marketingowe")</f>
        <v>0</v>
      </c>
    </row>
    <row r="4" spans="1:2" ht="12.75">
      <c r="A4" t="s">
        <v>161</v>
      </c>
      <c r="B4">
        <f>COUNTIF(ndst!$B$2:$Q$36,"Bezpieczeństwo i higiena pracy")</f>
        <v>0</v>
      </c>
    </row>
    <row r="5" spans="1:2" ht="12.75">
      <c r="A5" t="s">
        <v>190</v>
      </c>
      <c r="B5">
        <f>COUNTIF(ndst!$B$2:$Q$36,"Bezpieczeństwo w gastronomii")</f>
        <v>0</v>
      </c>
    </row>
    <row r="6" spans="1:2" ht="12.75">
      <c r="A6" t="s">
        <v>53</v>
      </c>
      <c r="B6">
        <f>COUNTIF(ndst!$B$2:$Q$36,"Biologia")</f>
        <v>0</v>
      </c>
    </row>
    <row r="7" spans="1:2" ht="12.75">
      <c r="A7" t="s">
        <v>174</v>
      </c>
      <c r="B7">
        <f>COUNTIF(ndst!$B$2:$Q$36,"Biuro rachunkowe")</f>
        <v>0</v>
      </c>
    </row>
    <row r="8" spans="1:2" ht="12.75">
      <c r="A8" t="s">
        <v>47</v>
      </c>
      <c r="B8">
        <f>COUNTIF(ndst!$B$2:$Q$36,"Chemia")</f>
        <v>0</v>
      </c>
    </row>
    <row r="9" spans="1:2" ht="12.75">
      <c r="A9" t="s">
        <v>210</v>
      </c>
      <c r="B9">
        <f>COUNTIF(ndst!$B$2:$Q$36,"Dystrybucja")</f>
        <v>0</v>
      </c>
    </row>
    <row r="10" spans="1:2" ht="12.75">
      <c r="A10" t="s">
        <v>191</v>
      </c>
      <c r="B10">
        <f>COUNTIF(ndst!$B$2:$Q$36,"Działalność gospodarcza w gastronomii")</f>
        <v>0</v>
      </c>
    </row>
    <row r="11" spans="1:2" ht="12.75">
      <c r="A11" t="s">
        <v>218</v>
      </c>
      <c r="B11">
        <f>COUNTIF(ndst!$B$2:$Q$36,"Działalność recepcji")</f>
        <v>0</v>
      </c>
    </row>
    <row r="12" spans="1:2" ht="12.75">
      <c r="A12" t="s">
        <v>204</v>
      </c>
      <c r="B12">
        <f>COUNTIF(ndst!$B$2:$Q$36,"Edukacja dla bezpieczeństwa")</f>
        <v>0</v>
      </c>
    </row>
    <row r="13" spans="1:2" ht="12.75">
      <c r="A13" t="s">
        <v>108</v>
      </c>
      <c r="B13">
        <f>COUNTIF(ndst!$B$2:$Q$36,"Ekonomia i prawo w hotelarstwie")</f>
        <v>0</v>
      </c>
    </row>
    <row r="14" spans="1:2" ht="12.75">
      <c r="A14" t="s">
        <v>105</v>
      </c>
      <c r="B14">
        <f>COUNTIF(ndst!$B$2:$Q$36,"Ekonomika")</f>
        <v>0</v>
      </c>
    </row>
    <row r="15" spans="1:2" ht="12.75">
      <c r="A15" t="s">
        <v>146</v>
      </c>
      <c r="B15">
        <f>COUNTIF(ndst!$B$2:$Q$36,"Ekonomika logistyki")</f>
        <v>0</v>
      </c>
    </row>
    <row r="16" spans="1:2" ht="12.75">
      <c r="A16" t="s">
        <v>71</v>
      </c>
      <c r="B16">
        <f>COUNTIF(ndst!$B$2:$Q$36,"Ekonomika przedsiębiorstw")</f>
        <v>0</v>
      </c>
    </row>
    <row r="17" spans="1:2" ht="12.75">
      <c r="A17" t="s">
        <v>73</v>
      </c>
      <c r="B17">
        <f>COUNTIF(ndst!$B$2:$Q$36,"Elementy prawa")</f>
        <v>0</v>
      </c>
    </row>
    <row r="18" spans="1:2" ht="12.75">
      <c r="A18" t="s">
        <v>203</v>
      </c>
      <c r="B18">
        <f>COUNTIF(ndst!$B$2:$Q$36,"Fizyka")</f>
        <v>0</v>
      </c>
    </row>
    <row r="19" spans="1:2" ht="12.75">
      <c r="A19" t="s">
        <v>46</v>
      </c>
      <c r="B19">
        <f>COUNTIF(ndst!$B$2:$Q$36,"Fizyka z astronomią")</f>
        <v>0</v>
      </c>
    </row>
    <row r="20" spans="1:2" ht="12.75">
      <c r="A20" t="s">
        <v>176</v>
      </c>
      <c r="B20">
        <f>COUNTIF(ndst!$B$2:$Q$36,"Funkcjonowanie przedsiębiorstwa logistycznego w gosp. i BHP")</f>
        <v>0</v>
      </c>
    </row>
    <row r="21" spans="1:2" ht="12.75">
      <c r="A21" t="s">
        <v>45</v>
      </c>
      <c r="B21">
        <f>COUNTIF(ndst!$B$2:$Q$36,"Geografia")</f>
        <v>0</v>
      </c>
    </row>
    <row r="22" spans="1:2" ht="12.75">
      <c r="A22" t="s">
        <v>150</v>
      </c>
      <c r="B22">
        <f>COUNTIF(ndst!$B$2:$Q$36,"Gospodarka elektroniczna")</f>
        <v>0</v>
      </c>
    </row>
    <row r="23" spans="1:2" ht="12.75">
      <c r="A23" t="s">
        <v>145</v>
      </c>
      <c r="B23">
        <f>COUNTIF(ndst!$B$2:$Q$36,"Gospodarka zapasami i magazynem")</f>
        <v>0</v>
      </c>
    </row>
    <row r="24" spans="1:2" ht="12.75">
      <c r="A24" t="s">
        <v>99</v>
      </c>
      <c r="B24">
        <f>COUNTIF(ndst!$B$2:$Q$36,"Higiena i ochrona zdrowia")</f>
        <v>0</v>
      </c>
    </row>
    <row r="25" spans="1:2" ht="12.75">
      <c r="A25" t="s">
        <v>43</v>
      </c>
      <c r="B25">
        <f>COUNTIF(ndst!$B$2:$Q$36,"Historia")</f>
        <v>0</v>
      </c>
    </row>
    <row r="26" spans="1:2" ht="12.75">
      <c r="A26" t="s">
        <v>217</v>
      </c>
      <c r="B26">
        <f>COUNTIF(ndst!$B$2:$Q$36,"Historia i społeczeństwo")</f>
        <v>0</v>
      </c>
    </row>
    <row r="27" spans="1:2" ht="12.75">
      <c r="A27" t="s">
        <v>205</v>
      </c>
      <c r="B27">
        <f>COUNTIF(ndst!$B$2:$Q$36,"Informatyka")</f>
        <v>0</v>
      </c>
    </row>
    <row r="28" spans="1:2" ht="12.75">
      <c r="A28" t="s">
        <v>39</v>
      </c>
      <c r="B28">
        <f>COUNTIF(ndst!$B$2:$Q$36,"Język angielski")</f>
        <v>0</v>
      </c>
    </row>
    <row r="29" spans="1:2" ht="12.75">
      <c r="A29" t="s">
        <v>153</v>
      </c>
      <c r="B29">
        <f>COUNTIF(ndst!$B$2:$Q$36,"Język angielski dla logistyków")</f>
        <v>0</v>
      </c>
    </row>
    <row r="30" spans="1:2" ht="12.75">
      <c r="A30" t="s">
        <v>41</v>
      </c>
      <c r="B30">
        <f>COUNTIF(ndst!$B$2:$Q$36,"Język francuski")</f>
        <v>0</v>
      </c>
    </row>
    <row r="31" spans="1:2" ht="12.75">
      <c r="A31" t="s">
        <v>40</v>
      </c>
      <c r="B31">
        <f>COUNTIF(ndst!$B$2:$Q$36,"Język niemiecki")</f>
        <v>0</v>
      </c>
    </row>
    <row r="32" spans="1:2" ht="12.75">
      <c r="A32" t="s">
        <v>154</v>
      </c>
      <c r="B32">
        <f>COUNTIF(ndst!$B$2:$Q$36,"Język obcy dla logistyków")</f>
        <v>0</v>
      </c>
    </row>
    <row r="33" spans="1:2" ht="12.75">
      <c r="A33" t="s">
        <v>225</v>
      </c>
      <c r="B33">
        <f>COUNTIF(ndst!$B$2:$Q$36,"Język obcy w hotelarswie")</f>
        <v>0</v>
      </c>
    </row>
    <row r="34" spans="1:2" ht="12.75">
      <c r="A34" t="s">
        <v>213</v>
      </c>
      <c r="B34">
        <f>COUNTIF(ndst!$B$2:$Q$36,"Język obcy w logistyce")</f>
        <v>0</v>
      </c>
    </row>
    <row r="35" spans="1:2" ht="12.75">
      <c r="A35" t="s">
        <v>79</v>
      </c>
      <c r="B35">
        <f>COUNTIF(ndst!$B$2:$Q$36,"Język obcy zawodowy")</f>
        <v>0</v>
      </c>
    </row>
    <row r="36" spans="1:2" ht="12.75">
      <c r="A36" t="s">
        <v>38</v>
      </c>
      <c r="B36">
        <f>COUNTIF(ndst!$B$2:$Q$36,"Język polski")</f>
        <v>0</v>
      </c>
    </row>
    <row r="37" spans="1:2" ht="12.75">
      <c r="A37" t="s">
        <v>155</v>
      </c>
      <c r="B37">
        <f>COUNTIF(ndst!$B$2:$Q$36,"Język rosyjski")</f>
        <v>0</v>
      </c>
    </row>
    <row r="38" spans="1:2" ht="12.75">
      <c r="A38" t="s">
        <v>173</v>
      </c>
      <c r="B38">
        <f>COUNTIF(ndst!$B$2:$Q$36,"Kadry i płace")</f>
        <v>0</v>
      </c>
    </row>
    <row r="39" spans="1:2" ht="12.75">
      <c r="A39" t="s">
        <v>78</v>
      </c>
      <c r="B39">
        <f>COUNTIF(ndst!$B$2:$Q$36,"Kultura zawodu")</f>
        <v>0</v>
      </c>
    </row>
    <row r="40" spans="1:2" ht="12.75">
      <c r="A40" t="s">
        <v>151</v>
      </c>
      <c r="B40">
        <f>COUNTIF(ndst!$B$2:$Q$36,"Laboratorium logistyczno-spedycyjne")</f>
        <v>0</v>
      </c>
    </row>
    <row r="41" spans="1:2" ht="12.75">
      <c r="A41" t="s">
        <v>152</v>
      </c>
      <c r="B41">
        <f>COUNTIF(ndst!$B$2:$Q$36,"Laboratorium magazynowe")</f>
        <v>0</v>
      </c>
    </row>
    <row r="42" spans="1:2" ht="12.75">
      <c r="A42" t="s">
        <v>181</v>
      </c>
      <c r="B42">
        <f>COUNTIF(ndst!$B$2:$Q$36,"Logistyka miejska")</f>
        <v>0</v>
      </c>
    </row>
    <row r="43" spans="1:2" ht="12.75">
      <c r="A43" t="s">
        <v>226</v>
      </c>
      <c r="B43">
        <f>COUNTIF(ndst!$B$2:$Q$36,"Zasady żywienia i techn. gastr.")</f>
        <v>0</v>
      </c>
    </row>
    <row r="44" spans="1:2" ht="12.75">
      <c r="A44" t="s">
        <v>212</v>
      </c>
      <c r="B44">
        <f>COUNTIF(ndst!$B$2:$Q$36,"Logistyka w procesach produkcji")</f>
        <v>0</v>
      </c>
    </row>
    <row r="45" spans="1:2" ht="12.75">
      <c r="A45" t="s">
        <v>222</v>
      </c>
      <c r="B45">
        <f>COUNTIF(ndst!$B$2:$Q$36,"Logistyka zaopatrzenie produkcji")</f>
        <v>0</v>
      </c>
    </row>
    <row r="46" spans="1:2" ht="12.75">
      <c r="A46" t="s">
        <v>72</v>
      </c>
      <c r="B46">
        <f>COUNTIF(ndst!$B$2:$Q$36,"Marketing")</f>
        <v>0</v>
      </c>
    </row>
    <row r="47" spans="1:2" ht="12.75">
      <c r="A47" t="s">
        <v>110</v>
      </c>
      <c r="B47">
        <f>COUNTIF(ndst!$B$2:$Q$36,"Marketing usług hotelarskich")</f>
        <v>0</v>
      </c>
    </row>
    <row r="48" spans="1:2" ht="12.75">
      <c r="A48" t="s">
        <v>85</v>
      </c>
      <c r="B48">
        <f>COUNTIF(ndst!$B$2:$Q$36,"Marketing w hotelarstwie")</f>
        <v>0</v>
      </c>
    </row>
    <row r="49" spans="1:2" ht="12.75">
      <c r="A49" t="s">
        <v>42</v>
      </c>
      <c r="B49">
        <f>COUNTIF(ndst!$B$2:$Q$36,"Matematyka")</f>
        <v>0</v>
      </c>
    </row>
    <row r="50" spans="1:2" ht="12.75">
      <c r="A50" t="s">
        <v>97</v>
      </c>
      <c r="B50">
        <f>COUNTIF(ndst!$B$2:$Q$36,"Mikrobiologia żywności")</f>
        <v>0</v>
      </c>
    </row>
    <row r="51" spans="1:2" ht="12.75">
      <c r="A51" t="s">
        <v>109</v>
      </c>
      <c r="B51">
        <f>COUNTIF(ndst!$B$2:$Q$36,"Obsługa informatyczna w hotelarstwie")</f>
        <v>0</v>
      </c>
    </row>
    <row r="52" spans="1:2" ht="12.75">
      <c r="A52" t="s">
        <v>215</v>
      </c>
      <c r="B52">
        <f>COUNTIF(ndst!$B$2:$Q$36,"Obsługa jednostek zewnętrznych")</f>
        <v>0</v>
      </c>
    </row>
    <row r="53" spans="1:2" ht="12.75">
      <c r="A53" t="s">
        <v>82</v>
      </c>
      <c r="B53">
        <f>COUNTIF(ndst!$B$2:$Q$36,"Obsługa konsumenta")</f>
        <v>0</v>
      </c>
    </row>
    <row r="54" spans="1:2" ht="12.75">
      <c r="A54" t="s">
        <v>184</v>
      </c>
      <c r="B54">
        <f>COUNTIF(ndst!$B$2:$Q$36,"Obsługa konsumenta w gastronomii hotelowej")</f>
        <v>0</v>
      </c>
    </row>
    <row r="55" spans="1:2" ht="12.75">
      <c r="A55" t="s">
        <v>92</v>
      </c>
      <c r="B55">
        <f>COUNTIF(ndst!$B$2:$Q$36,"Organizacja i ekonomika gastronomii")</f>
        <v>0</v>
      </c>
    </row>
    <row r="56" spans="1:2" ht="12.75">
      <c r="A56" t="s">
        <v>83</v>
      </c>
      <c r="B56">
        <f>COUNTIF(ndst!$B$2:$Q$36,"Organizacja i technika pracy")</f>
        <v>0</v>
      </c>
    </row>
    <row r="57" spans="1:2" ht="12.75">
      <c r="A57" t="s">
        <v>182</v>
      </c>
      <c r="B57">
        <f>COUNTIF(ndst!$B$2:$Q$36,"Organizacja pracy recepcji i służby pięter")</f>
        <v>0</v>
      </c>
    </row>
    <row r="58" spans="1:2" ht="12.75">
      <c r="A58" t="s">
        <v>103</v>
      </c>
      <c r="B58">
        <f>COUNTIF(ndst!$B$2:$Q$36,"Organizacja pracy w hotelarstwie")</f>
        <v>0</v>
      </c>
    </row>
    <row r="59" spans="1:2" ht="12.75">
      <c r="A59" t="s">
        <v>193</v>
      </c>
      <c r="B59">
        <f>COUNTIF(ndst!$B$2:$Q$36,"Organizacja produkcji gastronomicznej")</f>
        <v>0</v>
      </c>
    </row>
    <row r="60" spans="1:2" ht="12.75">
      <c r="A60" t="s">
        <v>185</v>
      </c>
      <c r="B60">
        <f>COUNTIF(ndst!$B$2:$Q$36,"Organizacja usług dodatkowych w obiekcie hotelarskim")</f>
        <v>0</v>
      </c>
    </row>
    <row r="61" spans="1:2" ht="12.75">
      <c r="A61" t="s">
        <v>148</v>
      </c>
      <c r="B61">
        <f>COUNTIF(ndst!$B$2:$Q$36,"Planowanie logistyczne")</f>
        <v>0</v>
      </c>
    </row>
    <row r="62" spans="1:2" ht="12.75">
      <c r="A62" t="s">
        <v>214</v>
      </c>
      <c r="B62">
        <f>COUNTIF(ndst!$B$2:$Q$36,"Planowanie produkcji i dystrybucji")</f>
        <v>0</v>
      </c>
    </row>
    <row r="63" spans="1:2" ht="12.75">
      <c r="A63" t="s">
        <v>216</v>
      </c>
      <c r="B63">
        <f>COUNTIF(ndst!$B$2:$Q$36,"Planowanie przepływu zasobów i informacji")</f>
        <v>0</v>
      </c>
    </row>
    <row r="64" spans="1:2" ht="12.75">
      <c r="A64" t="s">
        <v>194</v>
      </c>
      <c r="B64">
        <f>COUNTIF(ndst!$B$2:$Q$36,"Planowanie usług gastronomicznych")</f>
        <v>0</v>
      </c>
    </row>
    <row r="65" spans="1:2" ht="12.75">
      <c r="A65" t="s">
        <v>94</v>
      </c>
      <c r="B65">
        <f>COUNTIF(ndst!$B$2:$Q$36,"Podstawy biurowości")</f>
        <v>0</v>
      </c>
    </row>
    <row r="66" spans="1:2" ht="12.75">
      <c r="A66" t="s">
        <v>183</v>
      </c>
      <c r="B66">
        <f>COUNTIF(ndst!$B$2:$Q$36,"Podstawy działalności gosp. w hotelarstwie")</f>
        <v>0</v>
      </c>
    </row>
    <row r="67" spans="1:2" ht="12.75">
      <c r="A67" t="s">
        <v>224</v>
      </c>
      <c r="B67">
        <f>COUNTIF(ndst!$B$2:$Q$36,"Podstawy działalności przedsiębiosrtwa")</f>
        <v>0</v>
      </c>
    </row>
    <row r="68" spans="1:2" ht="12.75">
      <c r="A68" t="s">
        <v>80</v>
      </c>
      <c r="B68">
        <f>COUNTIF(ndst!$B$2:$Q$36,"Podstawy ekonomiczne i prawne")</f>
        <v>0</v>
      </c>
    </row>
    <row r="69" spans="1:2" ht="12.75">
      <c r="A69" t="s">
        <v>68</v>
      </c>
      <c r="B69">
        <f>COUNTIF(ndst!$B$2:$Q$36,"Podstawy ekonomii")</f>
        <v>0</v>
      </c>
    </row>
    <row r="70" spans="1:2" ht="12.75">
      <c r="A70" t="s">
        <v>167</v>
      </c>
      <c r="B70">
        <f>COUNTIF(ndst!$B$2:$Q$36,"Podstawy funkcjonowania przedsiębiorstwa")</f>
        <v>0</v>
      </c>
    </row>
    <row r="71" spans="1:2" ht="12.75">
      <c r="A71" t="s">
        <v>206</v>
      </c>
      <c r="B71">
        <f>COUNTIF(ndst!$B$2:$Q$36,"Podstawy hotelarstwa i turystyki")</f>
        <v>0</v>
      </c>
    </row>
    <row r="72" spans="1:2" ht="12.75">
      <c r="A72" t="s">
        <v>144</v>
      </c>
      <c r="B72">
        <f>COUNTIF(ndst!$B$2:$Q$36,"Podstawy logistyki")</f>
        <v>0</v>
      </c>
    </row>
    <row r="73" spans="1:2" ht="12.75">
      <c r="A73" t="s">
        <v>168</v>
      </c>
      <c r="B73">
        <f>COUNTIF(ndst!$B$2:$Q$36,"Podstawy prawa i ochrona pracy")</f>
        <v>0</v>
      </c>
    </row>
    <row r="74" spans="1:2" ht="12.75">
      <c r="A74" t="s">
        <v>48</v>
      </c>
      <c r="B74">
        <f>COUNTIF(ndst!$B$2:$Q$36,"Podstawy przedsiębiorczości")</f>
        <v>0</v>
      </c>
    </row>
    <row r="75" spans="1:2" ht="12.75">
      <c r="A75" t="s">
        <v>87</v>
      </c>
      <c r="B75">
        <f>COUNTIF(ndst!$B$2:$Q$36,"Podstawy rachunkowości i finansów")</f>
        <v>0</v>
      </c>
    </row>
    <row r="76" spans="1:2" ht="12.75">
      <c r="A76" t="s">
        <v>192</v>
      </c>
      <c r="B76">
        <f>COUNTIF(ndst!$B$2:$Q$36,"Podstawy żywienia")</f>
        <v>0</v>
      </c>
    </row>
    <row r="77" spans="1:2" ht="12.75">
      <c r="A77" t="s">
        <v>91</v>
      </c>
      <c r="B77">
        <f>COUNTIF(ndst!$B$2:$Q$36,"Podstawy żywienia człowieka")</f>
        <v>0</v>
      </c>
    </row>
    <row r="78" spans="1:2" ht="12.75">
      <c r="A78" t="s">
        <v>158</v>
      </c>
      <c r="B78">
        <f>COUNTIF(ndst!$B$2:$Q$36,"Podstawy żywienia i higieny")</f>
        <v>0</v>
      </c>
    </row>
    <row r="79" spans="1:2" ht="12.75">
      <c r="A79" t="s">
        <v>76</v>
      </c>
      <c r="B79">
        <f>COUNTIF(ndst!$B$2:$Q$36,"Pracownia ekon.-informatyczna")</f>
        <v>0</v>
      </c>
    </row>
    <row r="80" spans="1:2" ht="12.75">
      <c r="A80" t="s">
        <v>107</v>
      </c>
      <c r="B80">
        <f>COUNTIF(ndst!$B$2:$Q$36,"Pracownia ekonomiczna")</f>
        <v>0</v>
      </c>
    </row>
    <row r="81" spans="1:2" ht="12.75">
      <c r="A81" t="s">
        <v>93</v>
      </c>
      <c r="B81">
        <f>COUNTIF(ndst!$B$2:$Q$36,"Pracownia gastronomiczna")</f>
        <v>0</v>
      </c>
    </row>
    <row r="82" spans="1:2" ht="12.75">
      <c r="A82" t="s">
        <v>187</v>
      </c>
      <c r="B82">
        <f>COUNTIF(ndst!$B$2:$Q$36,"Pracownia gastronomii hotelowej")</f>
        <v>0</v>
      </c>
    </row>
    <row r="83" spans="1:2" ht="12.75">
      <c r="A83" t="s">
        <v>186</v>
      </c>
      <c r="B83">
        <f>COUNTIF(ndst!$B$2:$Q$36,"Pracownia hotelarska")</f>
        <v>0</v>
      </c>
    </row>
    <row r="84" spans="1:2" ht="12.75">
      <c r="A84" t="s">
        <v>188</v>
      </c>
      <c r="B84">
        <f>COUNTIF(ndst!$B$2:$Q$36,"Pracownia obsługi informatycznej")</f>
        <v>0</v>
      </c>
    </row>
    <row r="85" spans="1:2" ht="12.75">
      <c r="A85" t="s">
        <v>179</v>
      </c>
      <c r="B85">
        <f>COUNTIF(ndst!$B$2:$Q$36,"Pracownia organizacji transportu")</f>
        <v>0</v>
      </c>
    </row>
    <row r="86" spans="1:2" ht="12.75">
      <c r="A86" t="s">
        <v>178</v>
      </c>
      <c r="B86">
        <f>COUNTIF(ndst!$B$2:$Q$36,"Pracownia planowania produkcji i dystrybucji")</f>
        <v>0</v>
      </c>
    </row>
    <row r="87" spans="1:2" ht="12.75">
      <c r="A87" t="s">
        <v>175</v>
      </c>
      <c r="B87">
        <f>COUNTIF(ndst!$B$2:$Q$36,"Praktyka zawodowa")</f>
        <v>0</v>
      </c>
    </row>
    <row r="88" spans="1:2" ht="12.75">
      <c r="A88" t="s">
        <v>104</v>
      </c>
      <c r="B88">
        <f>COUNTIF(ndst!$B$2:$Q$36,"Prawo")</f>
        <v>0</v>
      </c>
    </row>
    <row r="89" spans="1:2" ht="12.75">
      <c r="A89" t="s">
        <v>211</v>
      </c>
      <c r="B89">
        <f>COUNTIF(ndst!$B$2:$Q$36,"Procesy transportowe w logistyce")</f>
        <v>0</v>
      </c>
    </row>
    <row r="90" spans="1:2" ht="12.75">
      <c r="A90" t="s">
        <v>156</v>
      </c>
      <c r="B90">
        <f>COUNTIF(ndst!$B$2:$Q$36,"Przedsiębiorstwo gastr.")</f>
        <v>0</v>
      </c>
    </row>
    <row r="91" spans="1:2" ht="12.75">
      <c r="A91" t="s">
        <v>221</v>
      </c>
      <c r="B91">
        <f>COUNTIF(ndst!$B$2:$Q$36,"Przedsiębiosrtswo logistyczne w gospodarce rynkowej")</f>
        <v>0</v>
      </c>
    </row>
    <row r="92" spans="1:2" ht="12.75">
      <c r="A92" t="s">
        <v>98</v>
      </c>
      <c r="B92">
        <f>COUNTIF(ndst!$B$2:$Q$36,"Przepisy ruchu drogowego")</f>
        <v>0</v>
      </c>
    </row>
    <row r="93" spans="1:2" ht="12.75">
      <c r="A93" t="s">
        <v>50</v>
      </c>
      <c r="B93">
        <f>COUNTIF(ndst!$B$2:$Q$36,"Przysposobienie obronne")</f>
        <v>0</v>
      </c>
    </row>
    <row r="94" spans="1:2" ht="12.75">
      <c r="A94" t="s">
        <v>106</v>
      </c>
      <c r="B94">
        <f>COUNTIF(ndst!$B$2:$Q$36,"Rachunkowość")</f>
        <v>0</v>
      </c>
    </row>
    <row r="95" spans="1:2" ht="12.75">
      <c r="A95" t="s">
        <v>170</v>
      </c>
      <c r="B95">
        <f>COUNTIF(ndst!$B$2:$Q$36,"Rachunkowość finansowa")</f>
        <v>0</v>
      </c>
    </row>
    <row r="96" spans="1:2" ht="12.75">
      <c r="A96" t="s">
        <v>75</v>
      </c>
      <c r="B96">
        <f>COUNTIF(ndst!$B$2:$Q$36,"Rachunkowość przedsiębiorstw")</f>
        <v>0</v>
      </c>
    </row>
    <row r="97" spans="1:2" ht="12.75">
      <c r="A97" t="s">
        <v>37</v>
      </c>
      <c r="B97">
        <f>COUNTIF(ndst!$B$2:$Q$36,"Religia")</f>
        <v>0</v>
      </c>
    </row>
    <row r="98" spans="1:2" ht="12.75">
      <c r="A98" t="s">
        <v>77</v>
      </c>
      <c r="B98">
        <f>COUNTIF(ndst!$B$2:$Q$36,"Specjalizacja")</f>
        <v>0</v>
      </c>
    </row>
    <row r="99" spans="1:2" ht="12.75">
      <c r="A99" t="s">
        <v>70</v>
      </c>
      <c r="B99">
        <f>COUNTIF(ndst!$B$2:$Q$36,"Statystyka")</f>
        <v>0</v>
      </c>
    </row>
    <row r="100" spans="1:2" ht="12.75">
      <c r="A100" t="s">
        <v>180</v>
      </c>
      <c r="B100">
        <f>COUNTIF(ndst!$B$2:$Q$36,"Systemy informatyczne w logistyce")</f>
        <v>0</v>
      </c>
    </row>
    <row r="101" spans="1:2" ht="12.75">
      <c r="A101" t="s">
        <v>149</v>
      </c>
      <c r="B101">
        <f>COUNTIF(ndst!$B$2:$Q$36,"Systemy logistyczne")</f>
        <v>0</v>
      </c>
    </row>
    <row r="102" spans="1:2" ht="12.75">
      <c r="A102" t="s">
        <v>177</v>
      </c>
      <c r="B102">
        <f>COUNTIF(ndst!$B$2:$Q$36,"Środki transportu")</f>
        <v>0</v>
      </c>
    </row>
    <row r="103" spans="1:2" ht="12.75">
      <c r="A103" t="s">
        <v>69</v>
      </c>
      <c r="B103">
        <f>COUNTIF(ndst!$B$2:$Q$36,"Technika biurowa")</f>
        <v>0</v>
      </c>
    </row>
    <row r="104" spans="1:2" ht="12.75">
      <c r="A104" t="s">
        <v>84</v>
      </c>
      <c r="B104">
        <f>COUNTIF(ndst!$B$2:$Q$36,"Technika pracy biurowej")</f>
        <v>0</v>
      </c>
    </row>
    <row r="105" spans="1:2" ht="12.75">
      <c r="A105" t="s">
        <v>189</v>
      </c>
      <c r="B105">
        <f>COUNTIF(ndst!$B$2:$Q$36,"Technika w gastronomii")</f>
        <v>0</v>
      </c>
    </row>
    <row r="106" spans="1:2" ht="12.75">
      <c r="A106" t="s">
        <v>220</v>
      </c>
      <c r="B106">
        <f>COUNTIF(ndst!$B$2:$Q$36,"Techniki pracy w hotelarstwie")</f>
        <v>0</v>
      </c>
    </row>
    <row r="107" spans="1:2" ht="12.75">
      <c r="A107" t="s">
        <v>96</v>
      </c>
      <c r="B107">
        <f>COUNTIF(ndst!$B$2:$Q$36,"Technologia gastr. z obsługą konsumenta")</f>
        <v>0</v>
      </c>
    </row>
    <row r="108" spans="1:2" ht="12.75">
      <c r="A108" t="s">
        <v>90</v>
      </c>
      <c r="B108">
        <f>COUNTIF(ndst!$B$2:$Q$36,"Technologia gastr. z towaroznastwem")</f>
        <v>0</v>
      </c>
    </row>
    <row r="109" spans="1:2" ht="12.75">
      <c r="A109" t="s">
        <v>159</v>
      </c>
      <c r="B109">
        <f>COUNTIF(ndst!$B$2:$Q$36,"Technologia gastronomiczna")</f>
        <v>0</v>
      </c>
    </row>
    <row r="110" spans="1:2" ht="12.75">
      <c r="A110" t="s">
        <v>74</v>
      </c>
      <c r="B110">
        <f>COUNTIF(ndst!$B$2:$Q$36,"Technologia i towaroznastwo")</f>
        <v>0</v>
      </c>
    </row>
    <row r="111" spans="1:2" ht="12.75">
      <c r="A111" t="s">
        <v>49</v>
      </c>
      <c r="B111">
        <f>COUNTIF(ndst!$B$2:$Q$36,"Technologia informacyjna")</f>
        <v>0</v>
      </c>
    </row>
    <row r="112" spans="1:2" ht="12.75">
      <c r="A112" t="s">
        <v>147</v>
      </c>
      <c r="B112">
        <f>COUNTIF(ndst!$B$2:$Q$36,"Transport i spedycja")</f>
        <v>0</v>
      </c>
    </row>
    <row r="113" spans="1:2" ht="12.75">
      <c r="A113" t="s">
        <v>95</v>
      </c>
      <c r="B113">
        <f>COUNTIF(ndst!$B$2:$Q$36,"Urządzanie zakładów gastr. i gosp. dom.")</f>
        <v>0</v>
      </c>
    </row>
    <row r="114" spans="1:2" ht="12.75">
      <c r="A114" t="s">
        <v>223</v>
      </c>
      <c r="B114">
        <f>COUNTIF(ndst!$B$2:$Q$36,"Usługi transportowo spedycyjne")</f>
        <v>0</v>
      </c>
    </row>
    <row r="115" spans="1:2" ht="12.75">
      <c r="A115" t="s">
        <v>86</v>
      </c>
      <c r="B115">
        <f>COUNTIF(ndst!$B$2:$Q$36,"Usługi turystyczne")</f>
        <v>0</v>
      </c>
    </row>
    <row r="116" spans="1:2" ht="12.75">
      <c r="A116" t="s">
        <v>219</v>
      </c>
      <c r="B116">
        <f>COUNTIF(ndst!$B$2:$Q$36,"Usługi żywieniowe w hotelarstwie")</f>
        <v>0</v>
      </c>
    </row>
    <row r="117" spans="1:2" ht="12.75">
      <c r="A117" t="s">
        <v>52</v>
      </c>
      <c r="B117">
        <f>COUNTIF(ndst!$B$2:$Q$36,"Wiedza o kulturze")</f>
        <v>0</v>
      </c>
    </row>
    <row r="118" spans="1:2" ht="12.75">
      <c r="A118" t="s">
        <v>44</v>
      </c>
      <c r="B118">
        <f>COUNTIF(ndst!$B$2:$Q$36,"Wiedza o społeczeństwie")</f>
        <v>0</v>
      </c>
    </row>
    <row r="119" spans="1:2" ht="12.75">
      <c r="A119" t="s">
        <v>100</v>
      </c>
      <c r="B119">
        <f>COUNTIF(ndst!$B$2:$Q$36,"Wybrane zagad. z psych. społ.")</f>
        <v>0</v>
      </c>
    </row>
    <row r="120" spans="1:2" ht="12.75">
      <c r="A120" t="s">
        <v>51</v>
      </c>
      <c r="B120">
        <f>COUNTIF(ndst!$B$2:$Q$36,"Wychowanie fizyczne")</f>
        <v>0</v>
      </c>
    </row>
    <row r="121" spans="1:2" ht="12.75">
      <c r="A121" t="s">
        <v>89</v>
      </c>
      <c r="B121">
        <f>COUNTIF(ndst!$B$2:$Q$36,"Wyposażenie zakładów gastr.")</f>
        <v>0</v>
      </c>
    </row>
    <row r="122" spans="1:2" ht="12.75">
      <c r="A122" t="s">
        <v>160</v>
      </c>
      <c r="B122">
        <f>COUNTIF(ndst!$B$2:$Q$36,"Wyposażenie zakładów gastr. i gosp. dom.")</f>
        <v>0</v>
      </c>
    </row>
    <row r="123" spans="1:2" ht="12.75">
      <c r="A123" t="s">
        <v>88</v>
      </c>
      <c r="B123">
        <f>COUNTIF(ndst!$B$2:$Q$36,"Zajęcia praktyczne")</f>
        <v>0</v>
      </c>
    </row>
    <row r="124" spans="1:2" ht="12.75">
      <c r="A124" t="s">
        <v>209</v>
      </c>
      <c r="B124">
        <f>COUNTIF(ndst!$B$2:$Q$36,"Zapasy i magazynowanie")</f>
        <v>0</v>
      </c>
    </row>
    <row r="125" spans="1:2" ht="12.75">
      <c r="A125" t="s">
        <v>172</v>
      </c>
      <c r="B125">
        <f>COUNTIF(ndst!$B$2:$Q$36,"Zarządzanie aktywami przedsiębiorstwa")</f>
        <v>0</v>
      </c>
    </row>
    <row r="126" spans="1:2" ht="12.75">
      <c r="A126" t="s">
        <v>101</v>
      </c>
      <c r="B126">
        <f>COUNTIF(ndst!$B$2:$Q$36,"Zarządzanie firmą")</f>
        <v>0</v>
      </c>
    </row>
    <row r="127" spans="1:2" ht="12.75">
      <c r="A127" t="s">
        <v>102</v>
      </c>
      <c r="B127">
        <f>COUNTIF(ndst!$B$2:$Q$36,"Zasady rachunkowości")</f>
        <v>0</v>
      </c>
    </row>
    <row r="128" spans="1:2" ht="12.75">
      <c r="A128" t="s">
        <v>81</v>
      </c>
      <c r="B128">
        <f>COUNTIF(ndst!$B$2:$Q$36,"Zasady żywienia i techn. gastr.")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F4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6.75390625" style="0" bestFit="1" customWidth="1"/>
    <col min="2" max="6" width="23.625" style="0" bestFit="1" customWidth="1"/>
  </cols>
  <sheetData>
    <row r="1" spans="1:6" ht="12.75">
      <c r="A1" s="2" t="s">
        <v>23</v>
      </c>
      <c r="B1" s="2" t="s">
        <v>54</v>
      </c>
      <c r="C1" s="2" t="s">
        <v>25</v>
      </c>
      <c r="D1" s="2" t="s">
        <v>26</v>
      </c>
      <c r="E1" s="2" t="s">
        <v>27</v>
      </c>
      <c r="F1" s="2" t="s">
        <v>28</v>
      </c>
    </row>
    <row r="2" spans="1:6" ht="12.75">
      <c r="A2" s="4"/>
      <c r="B2" s="4"/>
      <c r="C2" s="4"/>
      <c r="D2" s="4"/>
      <c r="E2" s="4"/>
      <c r="F2" s="4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12.75">
      <c r="A8" s="4"/>
      <c r="B8" s="4"/>
      <c r="C8" s="4"/>
      <c r="D8" s="4"/>
      <c r="E8" s="4"/>
      <c r="F8" s="4"/>
    </row>
    <row r="9" spans="1:6" ht="12.75">
      <c r="A9" s="4"/>
      <c r="B9" s="4"/>
      <c r="C9" s="4"/>
      <c r="D9" s="4"/>
      <c r="E9" s="4"/>
      <c r="F9" s="4"/>
    </row>
    <row r="10" spans="1:6" ht="12.75">
      <c r="A10" s="4"/>
      <c r="B10" s="4"/>
      <c r="C10" s="4"/>
      <c r="D10" s="4"/>
      <c r="E10" s="4"/>
      <c r="F10" s="4"/>
    </row>
    <row r="11" spans="1:6" ht="12.75">
      <c r="A11" s="4"/>
      <c r="B11" s="4"/>
      <c r="C11" s="4"/>
      <c r="D11" s="4"/>
      <c r="E11" s="4"/>
      <c r="F11" s="4"/>
    </row>
    <row r="12" spans="1:6" ht="12.75">
      <c r="A12" s="4"/>
      <c r="B12" s="4"/>
      <c r="C12" s="4"/>
      <c r="D12" s="4"/>
      <c r="E12" s="4"/>
      <c r="F12" s="4"/>
    </row>
    <row r="13" spans="1:6" ht="12.75">
      <c r="A13" s="4"/>
      <c r="B13" s="4"/>
      <c r="C13" s="4"/>
      <c r="D13" s="4"/>
      <c r="E13" s="4"/>
      <c r="F13" s="4"/>
    </row>
    <row r="14" spans="1:6" ht="12.75">
      <c r="A14" s="4"/>
      <c r="B14" s="4"/>
      <c r="C14" s="4"/>
      <c r="D14" s="4"/>
      <c r="E14" s="4"/>
      <c r="F14" s="4"/>
    </row>
    <row r="15" spans="1:6" ht="12.75">
      <c r="A15" s="4"/>
      <c r="B15" s="4"/>
      <c r="C15" s="4"/>
      <c r="D15" s="4"/>
      <c r="E15" s="4"/>
      <c r="F15" s="4"/>
    </row>
    <row r="16" spans="1:6" ht="12.75">
      <c r="A16" s="4"/>
      <c r="B16" s="4"/>
      <c r="C16" s="4"/>
      <c r="D16" s="4"/>
      <c r="E16" s="4"/>
      <c r="F16" s="4"/>
    </row>
    <row r="17" spans="1:6" ht="12.75">
      <c r="A17" s="4"/>
      <c r="B17" s="4"/>
      <c r="C17" s="4"/>
      <c r="D17" s="4"/>
      <c r="E17" s="4"/>
      <c r="F17" s="4"/>
    </row>
    <row r="18" spans="1:6" ht="12.75">
      <c r="A18" s="4"/>
      <c r="B18" s="4"/>
      <c r="C18" s="4"/>
      <c r="D18" s="4"/>
      <c r="E18" s="4"/>
      <c r="F18" s="4"/>
    </row>
    <row r="19" spans="1:6" ht="12.75">
      <c r="A19" s="4"/>
      <c r="B19" s="4"/>
      <c r="C19" s="4"/>
      <c r="D19" s="4"/>
      <c r="E19" s="4"/>
      <c r="F19" s="4"/>
    </row>
    <row r="20" spans="1:6" ht="12.75">
      <c r="A20" s="4"/>
      <c r="B20" s="4"/>
      <c r="C20" s="4"/>
      <c r="D20" s="4"/>
      <c r="E20" s="4"/>
      <c r="F20" s="4"/>
    </row>
    <row r="21" spans="1:6" ht="12.75">
      <c r="A21" s="4"/>
      <c r="B21" s="4"/>
      <c r="C21" s="4"/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2" t="str">
        <f>IF(COUNTA(A2:A33)=ogólnie!B37,"OK","BŁĄD")</f>
        <v>OK</v>
      </c>
      <c r="B42" s="2" t="str">
        <f>IF(COUNTA(B2:B33)=ogólnie!B38,"OK","BŁĄD")</f>
        <v>OK</v>
      </c>
      <c r="C42" s="2" t="str">
        <f>IF(COUNTA(C2:C33)=ogólnie!B39,"OK","BŁĄD")</f>
        <v>OK</v>
      </c>
      <c r="D42" s="2" t="str">
        <f>IF(COUNTA(D2:D33)=ogólnie!B40,"OK","BŁĄD")</f>
        <v>OK</v>
      </c>
      <c r="E42" s="2" t="str">
        <f>IF(COUNTA(E2:E33)=ogólnie!B41,"OK","BŁĄD")</f>
        <v>OK</v>
      </c>
      <c r="F42" s="2" t="str">
        <f>IF(COUNTA(F2:F33)=ogólnie!B42,"OK","BŁĄD")</f>
        <v>OK</v>
      </c>
    </row>
  </sheetData>
  <sheetProtection password="CE0A" sheet="1"/>
  <conditionalFormatting sqref="A42:F42">
    <cfRule type="cellIs" priority="1" dxfId="1" operator="equal" stopIfTrue="1">
      <formula>"OK"</formula>
    </cfRule>
    <cfRule type="cellIs" priority="2" dxfId="0" operator="equal" stopIfTrue="1">
      <formula>"BŁĄD"</formula>
    </cfRule>
  </conditionalFormatting>
  <printOptions/>
  <pageMargins left="0.5905511811023623" right="0.5905511811023623" top="0.5905511811023623" bottom="0.5905511811023623" header="0" footer="0"/>
  <pageSetup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B42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52.125" style="0" customWidth="1"/>
    <col min="2" max="2" width="36.75390625" style="0" customWidth="1"/>
  </cols>
  <sheetData>
    <row r="1" spans="1:2" ht="15">
      <c r="A1" s="20" t="s">
        <v>0</v>
      </c>
      <c r="B1" s="21"/>
    </row>
    <row r="2" spans="1:2" ht="15">
      <c r="A2" s="20"/>
      <c r="B2" s="22"/>
    </row>
    <row r="3" spans="1:2" ht="15">
      <c r="A3" s="20" t="s">
        <v>1</v>
      </c>
      <c r="B3" s="19" t="str">
        <f>ogólnie!B3</f>
        <v>drugi</v>
      </c>
    </row>
    <row r="4" spans="1:2" ht="15">
      <c r="A4" s="20"/>
      <c r="B4" s="22"/>
    </row>
    <row r="5" spans="1:2" ht="15">
      <c r="A5" s="20" t="s">
        <v>2</v>
      </c>
      <c r="B5" s="19" t="str">
        <f>ogólnie!B5</f>
        <v>Wybierz rok</v>
      </c>
    </row>
    <row r="6" spans="1:2" ht="15">
      <c r="A6" s="20"/>
      <c r="B6" s="22"/>
    </row>
    <row r="7" spans="1:2" ht="15">
      <c r="A7" s="54" t="s">
        <v>3</v>
      </c>
      <c r="B7" s="59" t="str">
        <f>ogólnie!B7</f>
        <v>Wybierz klasę</v>
      </c>
    </row>
    <row r="8" spans="1:2" ht="15">
      <c r="A8" s="54" t="s">
        <v>4</v>
      </c>
      <c r="B8" s="60">
        <f>ogólnie!B8</f>
        <v>0</v>
      </c>
    </row>
    <row r="9" spans="1:2" ht="15">
      <c r="A9" s="54" t="s">
        <v>5</v>
      </c>
      <c r="B9" s="60">
        <f>ogólnie!B9</f>
        <v>0</v>
      </c>
    </row>
    <row r="10" spans="1:2" ht="15">
      <c r="A10" s="54" t="s">
        <v>10</v>
      </c>
      <c r="B10" s="55" t="str">
        <f>IF(ogólnie!B10=0,"-",ogólnie!B10)</f>
        <v>-</v>
      </c>
    </row>
    <row r="11" spans="1:2" ht="15">
      <c r="A11" s="56" t="s">
        <v>11</v>
      </c>
      <c r="B11" s="55" t="str">
        <f>IF(ogólnie!B11=0,"-",ogólnie!B11)</f>
        <v>-</v>
      </c>
    </row>
    <row r="12" spans="1:2" ht="15">
      <c r="A12" s="56" t="s">
        <v>12</v>
      </c>
      <c r="B12" s="55" t="str">
        <f>IF(ogólnie!B12=0,"-",ogólnie!B12)</f>
        <v>-</v>
      </c>
    </row>
    <row r="13" spans="1:2" ht="15">
      <c r="A13" s="56" t="s">
        <v>13</v>
      </c>
      <c r="B13" s="55" t="str">
        <f>IF(ogólnie!B13=0,"-",ogólnie!B13)</f>
        <v>-</v>
      </c>
    </row>
    <row r="14" spans="1:2" ht="15">
      <c r="A14" s="57" t="s">
        <v>64</v>
      </c>
      <c r="B14" s="58"/>
    </row>
    <row r="15" spans="1:2" ht="15">
      <c r="A15" s="56" t="s">
        <v>6</v>
      </c>
      <c r="B15" s="55" t="str">
        <f>IF(ogólnie!B15=0,"-",ogólnie!B15)</f>
        <v>-</v>
      </c>
    </row>
    <row r="16" spans="1:2" ht="15">
      <c r="A16" s="56" t="s">
        <v>7</v>
      </c>
      <c r="B16" s="55" t="str">
        <f>IF(ogólnie!B16=0,"-",ogólnie!B16)</f>
        <v>-</v>
      </c>
    </row>
    <row r="17" spans="1:2" ht="15">
      <c r="A17" s="56" t="s">
        <v>8</v>
      </c>
      <c r="B17" s="55" t="str">
        <f>IF(ogólnie!B17=0,"-",ogólnie!B17)</f>
        <v>-</v>
      </c>
    </row>
    <row r="18" spans="1:2" ht="15">
      <c r="A18" s="56" t="s">
        <v>9</v>
      </c>
      <c r="B18" s="55" t="str">
        <f>IF(ogólnie!B18=0,"-",ogólnie!B18)</f>
        <v>-</v>
      </c>
    </row>
    <row r="19" spans="1:2" ht="15">
      <c r="A19" s="56" t="s">
        <v>62</v>
      </c>
      <c r="B19" s="62" t="str">
        <f>IF(ogólnie!B19=0,"-",ogólnie!B19)</f>
        <v>-</v>
      </c>
    </row>
    <row r="20" spans="1:2" ht="15">
      <c r="A20" s="54" t="s">
        <v>14</v>
      </c>
      <c r="B20" s="55" t="str">
        <f>IF(ogólnie!B20=0,"-",ogólnie!B20)</f>
        <v>-</v>
      </c>
    </row>
    <row r="21" spans="1:2" ht="15">
      <c r="A21" s="54" t="s">
        <v>15</v>
      </c>
      <c r="B21" s="55" t="str">
        <f>IF(ogólnie!B21=0,"-",ogólnie!B21)</f>
        <v>-</v>
      </c>
    </row>
    <row r="22" spans="1:2" ht="15">
      <c r="A22" s="54" t="s">
        <v>16</v>
      </c>
      <c r="B22" s="55" t="str">
        <f>IF(ogólnie!B22=0,"-",ogólnie!B22)</f>
        <v>-</v>
      </c>
    </row>
    <row r="23" spans="1:2" ht="15">
      <c r="A23" s="54" t="s">
        <v>17</v>
      </c>
      <c r="B23" s="55" t="str">
        <f>IF(ogólnie!B23=0,"-",ogólnie!B23)</f>
        <v>-</v>
      </c>
    </row>
    <row r="24" spans="1:2" ht="15">
      <c r="A24" s="56" t="s">
        <v>18</v>
      </c>
      <c r="B24" s="55" t="str">
        <f>IF(ogólnie!B24=0,"-",ogólnie!B24)</f>
        <v>-</v>
      </c>
    </row>
    <row r="25" spans="1:2" ht="15">
      <c r="A25" s="56" t="s">
        <v>19</v>
      </c>
      <c r="B25" s="55" t="str">
        <f>IF(ogólnie!B25=0,"-",ogólnie!B25)</f>
        <v>-</v>
      </c>
    </row>
    <row r="26" spans="1:2" ht="15">
      <c r="A26" s="64" t="s">
        <v>157</v>
      </c>
      <c r="B26" s="55" t="str">
        <f>IF(ogólnie!B26=0,"-",ogólnie!B26)</f>
        <v>-</v>
      </c>
    </row>
    <row r="27" spans="1:2" ht="15">
      <c r="A27" s="54" t="s">
        <v>20</v>
      </c>
      <c r="B27" s="55" t="str">
        <f>IF(ogólnie!B27=0,"-",ogólnie!B27)</f>
        <v>-</v>
      </c>
    </row>
    <row r="28" spans="1:2" ht="15">
      <c r="A28" s="56" t="s">
        <v>18</v>
      </c>
      <c r="B28" s="55" t="str">
        <f>IF(ogólnie!B28=0,"-",ogólnie!B28)</f>
        <v>-</v>
      </c>
    </row>
    <row r="29" spans="1:2" ht="15">
      <c r="A29" s="56" t="s">
        <v>19</v>
      </c>
      <c r="B29" s="55" t="str">
        <f>IF(ogólnie!B29=0,"-",ogólnie!B29)</f>
        <v>-</v>
      </c>
    </row>
    <row r="30" spans="1:2" ht="15">
      <c r="A30" s="54" t="s">
        <v>21</v>
      </c>
      <c r="B30" s="55" t="str">
        <f>IF(ogólnie!B30=0,"-",ogólnie!B30)</f>
        <v>-</v>
      </c>
    </row>
    <row r="31" spans="1:2" ht="15">
      <c r="A31" s="56" t="s">
        <v>18</v>
      </c>
      <c r="B31" s="55" t="str">
        <f>IF(ogólnie!B31=0,"-",ogólnie!B31)</f>
        <v>-</v>
      </c>
    </row>
    <row r="32" spans="1:2" ht="15">
      <c r="A32" s="56" t="s">
        <v>19</v>
      </c>
      <c r="B32" s="55" t="str">
        <f>IF(ogólnie!B32=0,"-",ogólnie!B32)</f>
        <v>-</v>
      </c>
    </row>
    <row r="33" spans="1:2" ht="15">
      <c r="A33" s="54" t="s">
        <v>63</v>
      </c>
      <c r="B33" s="55" t="str">
        <f>IF(ogólnie!B33=0,"-",ogólnie!B33)</f>
        <v>-</v>
      </c>
    </row>
    <row r="34" spans="1:2" ht="15">
      <c r="A34" s="56" t="s">
        <v>18</v>
      </c>
      <c r="B34" s="55" t="str">
        <f>IF(ogólnie!B34=0,"-",ogólnie!B34)</f>
        <v>-</v>
      </c>
    </row>
    <row r="35" spans="1:2" ht="15">
      <c r="A35" s="56" t="s">
        <v>19</v>
      </c>
      <c r="B35" s="55" t="str">
        <f>IF(ogólnie!B35=0,"-",ogólnie!B35)</f>
        <v>-</v>
      </c>
    </row>
    <row r="36" spans="1:2" ht="15">
      <c r="A36" s="54" t="s">
        <v>22</v>
      </c>
      <c r="B36" s="58"/>
    </row>
    <row r="37" spans="1:2" ht="15">
      <c r="A37" s="56" t="s">
        <v>23</v>
      </c>
      <c r="B37" s="55" t="str">
        <f>IF(ogólnie!B37=0,"-",ogólnie!B37)</f>
        <v>-</v>
      </c>
    </row>
    <row r="38" spans="1:2" ht="15">
      <c r="A38" s="56" t="s">
        <v>24</v>
      </c>
      <c r="B38" s="55" t="str">
        <f>IF(ogólnie!B38=0,"-",ogólnie!B38)</f>
        <v>-</v>
      </c>
    </row>
    <row r="39" spans="1:2" ht="15">
      <c r="A39" s="56" t="s">
        <v>25</v>
      </c>
      <c r="B39" s="55" t="str">
        <f>IF(ogólnie!B39=0,"-",ogólnie!B39)</f>
        <v>-</v>
      </c>
    </row>
    <row r="40" spans="1:2" ht="15">
      <c r="A40" s="56" t="s">
        <v>26</v>
      </c>
      <c r="B40" s="55" t="str">
        <f>IF(ogólnie!B40=0,"-",ogólnie!B40)</f>
        <v>-</v>
      </c>
    </row>
    <row r="41" spans="1:2" ht="15">
      <c r="A41" s="56" t="s">
        <v>27</v>
      </c>
      <c r="B41" s="55" t="str">
        <f>IF(ogólnie!B41=0,"-",ogólnie!B41)</f>
        <v>-</v>
      </c>
    </row>
    <row r="42" spans="1:2" ht="15">
      <c r="A42" s="56" t="s">
        <v>28</v>
      </c>
      <c r="B42" s="55" t="str">
        <f>IF(ogólnie!B42=0,"-",ogólnie!B42)</f>
        <v>-</v>
      </c>
    </row>
  </sheetData>
  <sheetProtection password="CE0A" sheet="1"/>
  <printOptions/>
  <pageMargins left="0.7" right="0.7" top="0.75" bottom="0.75" header="0.3" footer="0.3"/>
  <pageSetup orientation="portrait" paperSize="9"/>
  <ignoredErrors>
    <ignoredError sqref="B3 B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E23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28.625" style="0" bestFit="1" customWidth="1"/>
    <col min="2" max="2" width="68.25390625" style="0" customWidth="1"/>
    <col min="3" max="3" width="1.875" style="0" customWidth="1"/>
    <col min="4" max="4" width="28.125" style="0" customWidth="1"/>
    <col min="5" max="5" width="4.125" style="0" customWidth="1"/>
  </cols>
  <sheetData>
    <row r="1" spans="1:5" ht="15.75">
      <c r="A1" s="69" t="s">
        <v>65</v>
      </c>
      <c r="B1" s="69"/>
      <c r="C1" s="33"/>
      <c r="D1" s="70" t="s">
        <v>66</v>
      </c>
      <c r="E1" s="70"/>
    </row>
    <row r="2" spans="1:5" ht="15">
      <c r="A2" s="61" t="str">
        <f>IF('ogólnie cd'!A2=0,"-",'ogólnie cd'!A2)</f>
        <v>-</v>
      </c>
      <c r="B2" s="61" t="str">
        <f>IF('ogólnie cd'!B2=0,"-",LEFT('ogólnie cd'!B2,LEN('ogólnie cd'!B2)-2))</f>
        <v>-</v>
      </c>
      <c r="C2" s="34"/>
      <c r="D2" s="61" t="str">
        <f>IF('ogólnie cd'!D2=0,"-",'ogólnie cd'!D2)</f>
        <v>-</v>
      </c>
      <c r="E2" s="61" t="str">
        <f>IF('ogólnie cd'!E2=0,"-",'ogólnie cd'!E2)</f>
        <v>-</v>
      </c>
    </row>
    <row r="3" spans="1:5" ht="15">
      <c r="A3" s="61" t="str">
        <f>IF('ogólnie cd'!A3=0,"-",'ogólnie cd'!A3)</f>
        <v>-</v>
      </c>
      <c r="B3" s="61" t="str">
        <f>IF('ogólnie cd'!B3=0,"-",LEFT('ogólnie cd'!B3,LEN('ogólnie cd'!B3)-2))</f>
        <v>-</v>
      </c>
      <c r="C3" s="35"/>
      <c r="D3" s="61" t="str">
        <f>IF('ogólnie cd'!D3=0,"-",'ogólnie cd'!D3)</f>
        <v>-</v>
      </c>
      <c r="E3" s="61" t="str">
        <f>IF('ogólnie cd'!E3=0,"-",'ogólnie cd'!E3)</f>
        <v>-</v>
      </c>
    </row>
    <row r="4" spans="1:5" ht="15">
      <c r="A4" s="61" t="str">
        <f>IF('ogólnie cd'!A4=0,"-",'ogólnie cd'!A4)</f>
        <v>-</v>
      </c>
      <c r="B4" s="61" t="str">
        <f>IF('ogólnie cd'!B4=0,"-",LEFT('ogólnie cd'!B4,LEN('ogólnie cd'!B4)-2))</f>
        <v>-</v>
      </c>
      <c r="C4" s="34"/>
      <c r="D4" s="61" t="str">
        <f>IF('ogólnie cd'!D4=0,"-",'ogólnie cd'!D4)</f>
        <v>-</v>
      </c>
      <c r="E4" s="61" t="str">
        <f>IF('ogólnie cd'!E4=0,"-",'ogólnie cd'!E4)</f>
        <v>-</v>
      </c>
    </row>
    <row r="5" spans="1:5" ht="15">
      <c r="A5" s="61" t="str">
        <f>IF('ogólnie cd'!A5=0,"-",'ogólnie cd'!A5)</f>
        <v>-</v>
      </c>
      <c r="B5" s="61" t="str">
        <f>IF('ogólnie cd'!B5=0,"-",LEFT('ogólnie cd'!B5,LEN('ogólnie cd'!B5)-2))</f>
        <v>-</v>
      </c>
      <c r="C5" s="35"/>
      <c r="D5" s="61" t="str">
        <f>IF('ogólnie cd'!D5=0,"-",'ogólnie cd'!D5)</f>
        <v>-</v>
      </c>
      <c r="E5" s="61" t="str">
        <f>IF('ogólnie cd'!E5=0,"-",'ogólnie cd'!E5)</f>
        <v>-</v>
      </c>
    </row>
    <row r="6" spans="1:5" ht="15">
      <c r="A6" s="61" t="str">
        <f>IF('ogólnie cd'!A6=0,"-",'ogólnie cd'!A6)</f>
        <v>-</v>
      </c>
      <c r="B6" s="61" t="str">
        <f>IF('ogólnie cd'!B6=0,"-",LEFT('ogólnie cd'!B6,LEN('ogólnie cd'!B6)-2))</f>
        <v>-</v>
      </c>
      <c r="C6" s="34"/>
      <c r="D6" s="61" t="str">
        <f>IF('ogólnie cd'!D6=0,"-",'ogólnie cd'!D6)</f>
        <v>-</v>
      </c>
      <c r="E6" s="61" t="str">
        <f>IF('ogólnie cd'!E6=0,"-",'ogólnie cd'!E6)</f>
        <v>-</v>
      </c>
    </row>
    <row r="7" spans="1:5" ht="15">
      <c r="A7" s="61" t="str">
        <f>IF('ogólnie cd'!A7=0,"-",'ogólnie cd'!A7)</f>
        <v>-</v>
      </c>
      <c r="B7" s="61" t="str">
        <f>IF('ogólnie cd'!B7=0,"-",LEFT('ogólnie cd'!B7,LEN('ogólnie cd'!B7)-2))</f>
        <v>-</v>
      </c>
      <c r="C7" s="36"/>
      <c r="D7" s="61" t="str">
        <f>IF('ogólnie cd'!D7=0,"-",'ogólnie cd'!D7)</f>
        <v>-</v>
      </c>
      <c r="E7" s="61" t="str">
        <f>IF('ogólnie cd'!E7=0,"-",'ogólnie cd'!E7)</f>
        <v>-</v>
      </c>
    </row>
    <row r="8" spans="1:5" ht="15">
      <c r="A8" s="61" t="str">
        <f>IF('ogólnie cd'!A8=0,"-",'ogólnie cd'!A8)</f>
        <v>-</v>
      </c>
      <c r="B8" s="61" t="str">
        <f>IF('ogólnie cd'!B8=0,"-",LEFT('ogólnie cd'!B8,LEN('ogólnie cd'!B8)-2))</f>
        <v>-</v>
      </c>
      <c r="C8" s="31"/>
      <c r="D8" s="61" t="str">
        <f>IF('ogólnie cd'!D8=0,"-",'ogólnie cd'!D8)</f>
        <v>-</v>
      </c>
      <c r="E8" s="61" t="str">
        <f>IF('ogólnie cd'!E8=0,"-",'ogólnie cd'!E8)</f>
        <v>-</v>
      </c>
    </row>
    <row r="9" spans="1:5" ht="15">
      <c r="A9" s="61" t="str">
        <f>IF('ogólnie cd'!A9=0,"-",'ogólnie cd'!A9)</f>
        <v>-</v>
      </c>
      <c r="B9" s="61" t="str">
        <f>IF('ogólnie cd'!B9=0,"-",LEFT('ogólnie cd'!B9,LEN('ogólnie cd'!B9)-2))</f>
        <v>-</v>
      </c>
      <c r="C9" s="31"/>
      <c r="D9" s="61" t="str">
        <f>IF('ogólnie cd'!D9=0,"-",'ogólnie cd'!D9)</f>
        <v>-</v>
      </c>
      <c r="E9" s="61" t="str">
        <f>IF('ogólnie cd'!E9=0,"-",'ogólnie cd'!E9)</f>
        <v>-</v>
      </c>
    </row>
    <row r="10" spans="1:5" ht="15">
      <c r="A10" s="61" t="str">
        <f>IF('ogólnie cd'!A10=0,"-",'ogólnie cd'!A10)</f>
        <v>-</v>
      </c>
      <c r="B10" s="61" t="str">
        <f>IF('ogólnie cd'!B10=0,"-",LEFT('ogólnie cd'!B10,LEN('ogólnie cd'!B10)-2))</f>
        <v>-</v>
      </c>
      <c r="C10" s="31"/>
      <c r="D10" s="61" t="str">
        <f>IF('ogólnie cd'!D10=0,"-",'ogólnie cd'!D10)</f>
        <v>-</v>
      </c>
      <c r="E10" s="61" t="str">
        <f>IF('ogólnie cd'!E10=0,"-",'ogólnie cd'!E10)</f>
        <v>-</v>
      </c>
    </row>
    <row r="11" spans="1:5" ht="15">
      <c r="A11" s="61" t="str">
        <f>IF('ogólnie cd'!A11=0,"-",'ogólnie cd'!A11)</f>
        <v>-</v>
      </c>
      <c r="B11" s="61" t="str">
        <f>IF('ogólnie cd'!B11=0,"-",LEFT('ogólnie cd'!B11,LEN('ogólnie cd'!B11)-2))</f>
        <v>-</v>
      </c>
      <c r="C11" s="31"/>
      <c r="D11" s="61" t="str">
        <f>IF('ogólnie cd'!D11=0,"-",'ogólnie cd'!D11)</f>
        <v>-</v>
      </c>
      <c r="E11" s="61" t="str">
        <f>IF('ogólnie cd'!E11=0,"-",'ogólnie cd'!E11)</f>
        <v>-</v>
      </c>
    </row>
    <row r="12" spans="1:5" ht="15">
      <c r="A12" s="61" t="str">
        <f>IF('ogólnie cd'!A12=0,"-",'ogólnie cd'!A12)</f>
        <v>-</v>
      </c>
      <c r="B12" s="61" t="str">
        <f>IF('ogólnie cd'!B12=0,"-",LEFT('ogólnie cd'!B12,LEN('ogólnie cd'!B12)-2))</f>
        <v>-</v>
      </c>
      <c r="C12" s="31"/>
      <c r="D12" s="61" t="str">
        <f>IF('ogólnie cd'!D12=0,"-",'ogólnie cd'!D12)</f>
        <v>-</v>
      </c>
      <c r="E12" s="61" t="str">
        <f>IF('ogólnie cd'!E12=0,"-",'ogólnie cd'!E12)</f>
        <v>-</v>
      </c>
    </row>
    <row r="13" spans="1:5" ht="15">
      <c r="A13" s="61" t="str">
        <f>IF('ogólnie cd'!A13=0,"-",'ogólnie cd'!A13)</f>
        <v>-</v>
      </c>
      <c r="B13" s="61" t="str">
        <f>IF('ogólnie cd'!B13=0,"-",LEFT('ogólnie cd'!B13,LEN('ogólnie cd'!B13)-2))</f>
        <v>-</v>
      </c>
      <c r="C13" s="31"/>
      <c r="D13" s="61" t="str">
        <f>IF('ogólnie cd'!D13=0,"-",'ogólnie cd'!D13)</f>
        <v>-</v>
      </c>
      <c r="E13" s="61" t="str">
        <f>IF('ogólnie cd'!E13=0,"-",'ogólnie cd'!E13)</f>
        <v>-</v>
      </c>
    </row>
    <row r="14" spans="1:5" ht="15">
      <c r="A14" s="61" t="str">
        <f>IF('ogólnie cd'!A14=0,"-",'ogólnie cd'!A14)</f>
        <v>-</v>
      </c>
      <c r="B14" s="61" t="str">
        <f>IF('ogólnie cd'!B14=0,"-",LEFT('ogólnie cd'!B14,LEN('ogólnie cd'!B14)-2))</f>
        <v>-</v>
      </c>
      <c r="C14" s="31"/>
      <c r="D14" s="61" t="str">
        <f>IF('ogólnie cd'!D14=0,"-",'ogólnie cd'!D14)</f>
        <v>-</v>
      </c>
      <c r="E14" s="61" t="str">
        <f>IF('ogólnie cd'!E14=0,"-",'ogólnie cd'!E14)</f>
        <v>-</v>
      </c>
    </row>
    <row r="15" spans="1:5" ht="15">
      <c r="A15" s="61" t="str">
        <f>IF('ogólnie cd'!A15=0,"-",'ogólnie cd'!A15)</f>
        <v>-</v>
      </c>
      <c r="B15" s="61" t="str">
        <f>IF('ogólnie cd'!B15=0,"-",LEFT('ogólnie cd'!B15,LEN('ogólnie cd'!B15)-2))</f>
        <v>-</v>
      </c>
      <c r="C15" s="31"/>
      <c r="D15" s="61" t="str">
        <f>IF('ogólnie cd'!D15=0,"-",'ogólnie cd'!D15)</f>
        <v>-</v>
      </c>
      <c r="E15" s="61" t="str">
        <f>IF('ogólnie cd'!E15=0,"-",'ogólnie cd'!E15)</f>
        <v>-</v>
      </c>
    </row>
    <row r="16" spans="1:5" ht="15">
      <c r="A16" s="37"/>
      <c r="B16" s="31"/>
      <c r="C16" s="31"/>
      <c r="D16" s="42"/>
      <c r="E16" s="43"/>
    </row>
    <row r="17" spans="1:5" ht="15.75">
      <c r="A17" s="69" t="s">
        <v>67</v>
      </c>
      <c r="B17" s="69"/>
      <c r="C17" s="39"/>
      <c r="D17" s="39"/>
      <c r="E17" s="39"/>
    </row>
    <row r="18" spans="1:5" ht="15">
      <c r="A18" s="46" t="s">
        <v>23</v>
      </c>
      <c r="B18" s="61" t="str">
        <f>IF('ogólnie cd'!B18=0,"-",LEFT('ogólnie cd'!B18,LEN('ogólnie cd'!B18)-2))</f>
        <v>-</v>
      </c>
      <c r="C18" s="32"/>
      <c r="D18" s="41"/>
      <c r="E18" s="40"/>
    </row>
    <row r="19" spans="1:5" ht="15">
      <c r="A19" s="46" t="s">
        <v>24</v>
      </c>
      <c r="B19" s="61" t="str">
        <f>IF('ogólnie cd'!B19=0,"-",LEFT('ogólnie cd'!B19,LEN('ogólnie cd'!B19)-2))</f>
        <v>-</v>
      </c>
      <c r="C19" s="32"/>
      <c r="D19" s="38"/>
      <c r="E19" s="38"/>
    </row>
    <row r="20" spans="1:5" ht="15">
      <c r="A20" s="46" t="s">
        <v>25</v>
      </c>
      <c r="B20" s="61" t="str">
        <f>IF('ogólnie cd'!B20=0,"-",LEFT('ogólnie cd'!B20,LEN('ogólnie cd'!B20)-2))</f>
        <v>-</v>
      </c>
      <c r="C20" s="32"/>
      <c r="D20" s="38"/>
      <c r="E20" s="38"/>
    </row>
    <row r="21" spans="1:5" ht="15">
      <c r="A21" s="46" t="s">
        <v>26</v>
      </c>
      <c r="B21" s="61" t="str">
        <f>IF('ogólnie cd'!B21=0,"-",LEFT('ogólnie cd'!B21,LEN('ogólnie cd'!B21)-2))</f>
        <v>-</v>
      </c>
      <c r="C21" s="32"/>
      <c r="D21" s="38"/>
      <c r="E21" s="38"/>
    </row>
    <row r="22" spans="1:5" ht="15">
      <c r="A22" s="46" t="s">
        <v>27</v>
      </c>
      <c r="B22" s="61" t="str">
        <f>IF('ogólnie cd'!B22=0,"-",LEFT('ogólnie cd'!B22,LEN('ogólnie cd'!B22)-2))</f>
        <v>-</v>
      </c>
      <c r="C22" s="38"/>
      <c r="D22" s="38"/>
      <c r="E22" s="38"/>
    </row>
    <row r="23" spans="1:5" ht="15">
      <c r="A23" s="46" t="s">
        <v>28</v>
      </c>
      <c r="B23" s="61" t="str">
        <f>IF('ogólnie cd'!B23=0,"-",LEFT('ogólnie cd'!B23,LEN('ogólnie cd'!B23)-2))</f>
        <v>-</v>
      </c>
      <c r="C23" s="38"/>
      <c r="D23" s="38"/>
      <c r="E23" s="38"/>
    </row>
  </sheetData>
  <sheetProtection password="CE0A" sheet="1"/>
  <mergeCells count="3">
    <mergeCell ref="A1:B1"/>
    <mergeCell ref="D1:E1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B1:C33"/>
  <sheetViews>
    <sheetView zoomScalePageLayoutView="0" workbookViewId="0" topLeftCell="A1">
      <selection activeCell="D21" sqref="D21"/>
    </sheetView>
  </sheetViews>
  <sheetFormatPr defaultColWidth="9.00390625" defaultRowHeight="12.75"/>
  <sheetData>
    <row r="1" spans="2:3" ht="12.75">
      <c r="B1" t="s">
        <v>142</v>
      </c>
      <c r="C1" t="s">
        <v>143</v>
      </c>
    </row>
    <row r="2" spans="2:3" ht="12.75">
      <c r="B2" t="s">
        <v>111</v>
      </c>
      <c r="C2" t="s">
        <v>118</v>
      </c>
    </row>
    <row r="3" spans="2:3" ht="12.75">
      <c r="B3" t="s">
        <v>112</v>
      </c>
      <c r="C3" t="s">
        <v>119</v>
      </c>
    </row>
    <row r="4" spans="2:3" ht="12.75">
      <c r="B4" t="s">
        <v>113</v>
      </c>
      <c r="C4" t="s">
        <v>120</v>
      </c>
    </row>
    <row r="5" spans="2:3" ht="12.75">
      <c r="B5" t="s">
        <v>114</v>
      </c>
      <c r="C5" t="s">
        <v>121</v>
      </c>
    </row>
    <row r="6" spans="2:3" ht="12.75">
      <c r="B6" t="s">
        <v>115</v>
      </c>
      <c r="C6" t="s">
        <v>122</v>
      </c>
    </row>
    <row r="7" spans="2:3" ht="12.75">
      <c r="B7" t="s">
        <v>116</v>
      </c>
      <c r="C7" t="s">
        <v>123</v>
      </c>
    </row>
    <row r="8" spans="2:3" ht="12.75">
      <c r="B8" t="s">
        <v>117</v>
      </c>
      <c r="C8" t="s">
        <v>136</v>
      </c>
    </row>
    <row r="9" ht="12.75">
      <c r="C9" t="s">
        <v>137</v>
      </c>
    </row>
    <row r="10" ht="12.75">
      <c r="C10" t="s">
        <v>124</v>
      </c>
    </row>
    <row r="11" ht="12.75">
      <c r="C11" t="s">
        <v>125</v>
      </c>
    </row>
    <row r="12" ht="12.75">
      <c r="C12" t="s">
        <v>126</v>
      </c>
    </row>
    <row r="13" ht="12.75">
      <c r="C13" t="s">
        <v>127</v>
      </c>
    </row>
    <row r="14" ht="12.75">
      <c r="C14" t="s">
        <v>128</v>
      </c>
    </row>
    <row r="15" ht="12.75">
      <c r="C15" t="s">
        <v>129</v>
      </c>
    </row>
    <row r="16" ht="12.75">
      <c r="C16" t="s">
        <v>138</v>
      </c>
    </row>
    <row r="17" ht="12.75">
      <c r="C17" t="s">
        <v>139</v>
      </c>
    </row>
    <row r="18" ht="12.75">
      <c r="C18" t="s">
        <v>130</v>
      </c>
    </row>
    <row r="19" ht="12.75">
      <c r="C19" t="s">
        <v>131</v>
      </c>
    </row>
    <row r="20" ht="12.75">
      <c r="C20" t="s">
        <v>132</v>
      </c>
    </row>
    <row r="21" ht="12.75">
      <c r="C21" t="s">
        <v>133</v>
      </c>
    </row>
    <row r="22" ht="12.75">
      <c r="C22" t="s">
        <v>134</v>
      </c>
    </row>
    <row r="23" ht="12.75">
      <c r="C23" t="s">
        <v>135</v>
      </c>
    </row>
    <row r="24" ht="12.75">
      <c r="C24" t="s">
        <v>140</v>
      </c>
    </row>
    <row r="25" ht="12.75">
      <c r="C25" t="s">
        <v>141</v>
      </c>
    </row>
    <row r="26" ht="12.75">
      <c r="C26" t="s">
        <v>195</v>
      </c>
    </row>
    <row r="27" ht="12.75">
      <c r="C27" t="s">
        <v>196</v>
      </c>
    </row>
    <row r="28" ht="12.75">
      <c r="C28" t="s">
        <v>197</v>
      </c>
    </row>
    <row r="29" ht="12.75">
      <c r="C29" t="s">
        <v>198</v>
      </c>
    </row>
    <row r="30" ht="12.75">
      <c r="C30" t="s">
        <v>199</v>
      </c>
    </row>
    <row r="31" ht="12.75">
      <c r="C31" t="s">
        <v>200</v>
      </c>
    </row>
    <row r="32" ht="12.75">
      <c r="C32" t="s">
        <v>201</v>
      </c>
    </row>
    <row r="33" ht="12.75">
      <c r="C33" t="s">
        <v>202</v>
      </c>
    </row>
  </sheetData>
  <sheetProtection password="CE0A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375" style="0" customWidth="1"/>
    <col min="2" max="2" width="29.25390625" style="0" customWidth="1"/>
  </cols>
  <sheetData>
    <row r="1" ht="12.75">
      <c r="A1" s="1" t="s">
        <v>229</v>
      </c>
    </row>
    <row r="3" spans="1:2" ht="36" customHeight="1">
      <c r="A3" s="66" t="s">
        <v>207</v>
      </c>
      <c r="B3" s="67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gwiazda</cp:lastModifiedBy>
  <cp:lastPrinted>2012-11-29T13:11:56Z</cp:lastPrinted>
  <dcterms:created xsi:type="dcterms:W3CDTF">1997-02-26T13:46:56Z</dcterms:created>
  <dcterms:modified xsi:type="dcterms:W3CDTF">2014-04-03T18:19:56Z</dcterms:modified>
  <cp:category/>
  <cp:version/>
  <cp:contentType/>
  <cp:contentStatus/>
</cp:coreProperties>
</file>